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n.rfl\Desktop\LICITAÇÕES\Recepcionistas\Edital\"/>
    </mc:Choice>
  </mc:AlternateContent>
  <xr:revisionPtr revIDLastSave="0" documentId="13_ncr:1_{447F9A51-EF95-4469-A030-80DF632DD889}" xr6:coauthVersionLast="47" xr6:coauthVersionMax="47" xr10:uidLastSave="{00000000-0000-0000-0000-000000000000}"/>
  <bookViews>
    <workbookView xWindow="-110" yWindow="-110" windowWidth="19420" windowHeight="10420" tabRatio="603" xr2:uid="{00000000-000D-0000-FFFF-FFFF00000000}"/>
  </bookViews>
  <sheets>
    <sheet name="PROPOSTA" sheetId="91" r:id="rId1"/>
    <sheet name="RECEPCIONISTAS E ASSIST. ADMIN." sheetId="89" r:id="rId2"/>
    <sheet name="UNIFORMES" sheetId="92" r:id="rId3"/>
  </sheets>
  <definedNames>
    <definedName name="_xlnm.Print_Area" localSheetId="1">'RECEPCIONISTAS E ASSIST. ADMIN.'!$B$2:$G$127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89" l="1"/>
  <c r="E50" i="89"/>
  <c r="F50" i="89"/>
  <c r="G50" i="89"/>
  <c r="G53" i="89" l="1"/>
  <c r="F53" i="89"/>
  <c r="E53" i="89"/>
  <c r="G52" i="89"/>
  <c r="F52" i="89"/>
  <c r="E52" i="89"/>
  <c r="G51" i="89"/>
  <c r="F51" i="89"/>
  <c r="E51" i="89"/>
  <c r="G54" i="89"/>
  <c r="F54" i="89"/>
  <c r="E54" i="89"/>
  <c r="F9" i="92" l="1"/>
  <c r="D111" i="89" l="1"/>
  <c r="F5" i="92" l="1"/>
  <c r="F6" i="92"/>
  <c r="F7" i="92"/>
  <c r="F8" i="92"/>
  <c r="F4" i="92"/>
  <c r="D84" i="89"/>
  <c r="D83" i="89"/>
  <c r="D72" i="89"/>
  <c r="D71" i="89"/>
  <c r="D69" i="89"/>
  <c r="F10" i="92" l="1"/>
  <c r="E103" i="89" l="1"/>
  <c r="E104" i="89" s="1"/>
  <c r="F103" i="89"/>
  <c r="G103" i="89"/>
  <c r="D46" i="89"/>
  <c r="G104" i="89" l="1"/>
  <c r="G124" i="89" s="1"/>
  <c r="F104" i="89"/>
  <c r="F124" i="89" s="1"/>
  <c r="G23" i="89"/>
  <c r="G90" i="89" s="1"/>
  <c r="G91" i="89" s="1"/>
  <c r="G97" i="89" s="1"/>
  <c r="F23" i="89"/>
  <c r="F90" i="89" s="1"/>
  <c r="F91" i="89" s="1"/>
  <c r="F97" i="89" s="1"/>
  <c r="F55" i="89" l="1"/>
  <c r="F56" i="89"/>
  <c r="F63" i="89" s="1"/>
  <c r="G55" i="89"/>
  <c r="G25" i="89"/>
  <c r="G27" i="89" s="1"/>
  <c r="F27" i="89"/>
  <c r="D85" i="89"/>
  <c r="D74" i="89"/>
  <c r="F120" i="89" l="1"/>
  <c r="G120" i="89"/>
  <c r="F74" i="89"/>
  <c r="G74" i="89"/>
  <c r="G71" i="89"/>
  <c r="G69" i="89"/>
  <c r="G72" i="89"/>
  <c r="F71" i="89"/>
  <c r="F69" i="89"/>
  <c r="F72" i="89"/>
  <c r="G56" i="89"/>
  <c r="G63" i="89" s="1"/>
  <c r="E23" i="89"/>
  <c r="C126" i="89"/>
  <c r="C124" i="89"/>
  <c r="C123" i="89"/>
  <c r="C122" i="89"/>
  <c r="C121" i="89"/>
  <c r="C120" i="89"/>
  <c r="D115" i="89"/>
  <c r="E91" i="89"/>
  <c r="E97" i="89" s="1"/>
  <c r="D82" i="89"/>
  <c r="D81" i="89"/>
  <c r="D70" i="89"/>
  <c r="D73" i="89"/>
  <c r="D33" i="89"/>
  <c r="F33" i="89" s="1"/>
  <c r="D32" i="89"/>
  <c r="E55" i="89" l="1"/>
  <c r="G32" i="89"/>
  <c r="G33" i="89"/>
  <c r="F32" i="89"/>
  <c r="E27" i="89"/>
  <c r="E32" i="89" s="1"/>
  <c r="F73" i="89"/>
  <c r="G73" i="89"/>
  <c r="G70" i="89"/>
  <c r="F70" i="89"/>
  <c r="D86" i="89"/>
  <c r="D34" i="89"/>
  <c r="E120" i="89" l="1"/>
  <c r="E33" i="89"/>
  <c r="F75" i="89"/>
  <c r="F122" i="89" s="1"/>
  <c r="G75" i="89"/>
  <c r="G122" i="89" s="1"/>
  <c r="E72" i="89"/>
  <c r="E71" i="89"/>
  <c r="E69" i="89"/>
  <c r="E74" i="89"/>
  <c r="E73" i="89"/>
  <c r="E70" i="89"/>
  <c r="G34" i="89"/>
  <c r="E56" i="89"/>
  <c r="E63" i="89" s="1"/>
  <c r="G38" i="89"/>
  <c r="F34" i="89"/>
  <c r="G61" i="89" l="1"/>
  <c r="G44" i="89"/>
  <c r="F61" i="89"/>
  <c r="F40" i="89"/>
  <c r="G41" i="89"/>
  <c r="G42" i="89"/>
  <c r="G39" i="89"/>
  <c r="G45" i="89"/>
  <c r="G43" i="89"/>
  <c r="G40" i="89"/>
  <c r="E34" i="89"/>
  <c r="F44" i="89"/>
  <c r="F45" i="89"/>
  <c r="F42" i="89"/>
  <c r="F43" i="89"/>
  <c r="F39" i="89"/>
  <c r="F38" i="89"/>
  <c r="F41" i="89"/>
  <c r="E75" i="89"/>
  <c r="E42" i="89" l="1"/>
  <c r="E39" i="89"/>
  <c r="E38" i="89"/>
  <c r="E45" i="89"/>
  <c r="E41" i="89"/>
  <c r="E61" i="89"/>
  <c r="E44" i="89"/>
  <c r="G46" i="89"/>
  <c r="G62" i="89" s="1"/>
  <c r="G64" i="89" s="1"/>
  <c r="E40" i="89"/>
  <c r="E43" i="89"/>
  <c r="E122" i="89"/>
  <c r="F46" i="89"/>
  <c r="F62" i="89" s="1"/>
  <c r="F64" i="89" s="1"/>
  <c r="F121" i="89" l="1"/>
  <c r="G83" i="89"/>
  <c r="G121" i="89"/>
  <c r="G85" i="89"/>
  <c r="G82" i="89"/>
  <c r="G84" i="89"/>
  <c r="G81" i="89"/>
  <c r="G80" i="89"/>
  <c r="E46" i="89"/>
  <c r="E62" i="89" s="1"/>
  <c r="E64" i="89" s="1"/>
  <c r="F84" i="89"/>
  <c r="F83" i="89"/>
  <c r="F82" i="89"/>
  <c r="F80" i="89"/>
  <c r="F81" i="89"/>
  <c r="F85" i="89"/>
  <c r="E85" i="89" l="1"/>
  <c r="E121" i="89"/>
  <c r="E82" i="89"/>
  <c r="E80" i="89"/>
  <c r="E81" i="89"/>
  <c r="G86" i="89"/>
  <c r="G96" i="89" s="1"/>
  <c r="G98" i="89" s="1"/>
  <c r="E84" i="89"/>
  <c r="E83" i="89"/>
  <c r="F86" i="89"/>
  <c r="F96" i="89" s="1"/>
  <c r="F98" i="89" s="1"/>
  <c r="F123" i="89" l="1"/>
  <c r="F125" i="89" s="1"/>
  <c r="F109" i="89"/>
  <c r="G123" i="89"/>
  <c r="G125" i="89" s="1"/>
  <c r="G109" i="89"/>
  <c r="E86" i="89"/>
  <c r="E96" i="89" s="1"/>
  <c r="E98" i="89" s="1"/>
  <c r="E124" i="89"/>
  <c r="G110" i="89" l="1"/>
  <c r="G111" i="89" s="1"/>
  <c r="F110" i="89"/>
  <c r="F111" i="89" s="1"/>
  <c r="E123" i="89"/>
  <c r="E125" i="89" s="1"/>
  <c r="E109" i="89"/>
  <c r="F112" i="89" l="1"/>
  <c r="F114" i="89"/>
  <c r="F113" i="89"/>
  <c r="G114" i="89"/>
  <c r="G113" i="89"/>
  <c r="G112" i="89"/>
  <c r="E110" i="89"/>
  <c r="E111" i="89" s="1"/>
  <c r="E112" i="89" s="1"/>
  <c r="G115" i="89" l="1"/>
  <c r="G126" i="89" s="1"/>
  <c r="G127" i="89" s="1"/>
  <c r="I4" i="91" s="1"/>
  <c r="J4" i="91" s="1"/>
  <c r="F115" i="89"/>
  <c r="F126" i="89" s="1"/>
  <c r="F127" i="89" s="1"/>
  <c r="I3" i="91" s="1"/>
  <c r="J3" i="91" s="1"/>
  <c r="K3" i="91" s="1"/>
  <c r="E114" i="89"/>
  <c r="E113" i="89"/>
  <c r="K4" i="91" l="1"/>
  <c r="E115" i="89"/>
  <c r="E126" i="89" l="1"/>
  <c r="E127" i="89" s="1"/>
  <c r="I2" i="91" s="1"/>
  <c r="J2" i="91" l="1"/>
  <c r="K2" i="91" s="1"/>
  <c r="K5" i="91" s="1"/>
</calcChain>
</file>

<file path=xl/sharedStrings.xml><?xml version="1.0" encoding="utf-8"?>
<sst xmlns="http://schemas.openxmlformats.org/spreadsheetml/2006/main" count="260" uniqueCount="136">
  <si>
    <t>TOTAL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</si>
  <si>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</si>
  <si>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</si>
  <si>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</si>
  <si>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</si>
  <si>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</si>
  <si>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</si>
  <si>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</si>
  <si>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</si>
  <si>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</si>
  <si>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</si>
  <si>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</si>
  <si>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</si>
  <si>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</si>
  <si>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</si>
  <si>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</si>
  <si>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</si>
  <si>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</si>
  <si>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</si>
  <si>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</si>
  <si>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</si>
  <si>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</si>
  <si>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</si>
  <si>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</si>
  <si>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</si>
  <si>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</si>
  <si>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</si>
  <si>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</si>
  <si>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</si>
  <si>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</si>
  <si>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</si>
  <si>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</si>
  <si>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</si>
  <si>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</si>
  <si>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</si>
  <si>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</si>
  <si>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</si>
  <si>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</si>
  <si>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</si>
  <si>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</si>
  <si>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</si>
  <si>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</si>
  <si>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</si>
  <si>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</si>
  <si>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</si>
  <si>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</si>
  <si>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</si>
  <si>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</si>
  <si>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>DADOS PARA COMPOSIÇÃO DOS CUSTOS REFERENTE À MÃO DE OBRA</t>
  </si>
  <si>
    <t>Classificação Brasileira de Ocupação (CBO)</t>
  </si>
  <si>
    <t>Categoria profissional (vinculada à execução contratual )</t>
  </si>
  <si>
    <t>TRIBUTOS FEDERAIS - COFINS</t>
  </si>
  <si>
    <t>TRIBUTOS FEDERAIS - PIS</t>
  </si>
  <si>
    <t>TRIBUTOS MUNICIPAIS - ISS</t>
  </si>
  <si>
    <t>VALOR TOTAL (MENSAL POR EMPREGADO)</t>
  </si>
  <si>
    <t>PLANILHA DE CUSTOS E FORMAÇÃO DE PREÇOS</t>
  </si>
  <si>
    <t>Percentual</t>
  </si>
  <si>
    <t>H</t>
  </si>
  <si>
    <t>SUBTOTAL</t>
  </si>
  <si>
    <t xml:space="preserve">Uniformes </t>
  </si>
  <si>
    <t xml:space="preserve">Fortaleza/CE </t>
  </si>
  <si>
    <t>Salário normativo da categoria profissional para jornada de 36 h/sem</t>
  </si>
  <si>
    <t>Grupo</t>
  </si>
  <si>
    <t>Item</t>
  </si>
  <si>
    <t>Descrição</t>
  </si>
  <si>
    <t>Turno</t>
  </si>
  <si>
    <t>Local de Execução</t>
  </si>
  <si>
    <t>Quantidade de Postos</t>
  </si>
  <si>
    <t>CATSER</t>
  </si>
  <si>
    <t>Valor Unitário de Referência</t>
  </si>
  <si>
    <t>Valor Mensal de Referência</t>
  </si>
  <si>
    <t>Valor Anual de Referência</t>
  </si>
  <si>
    <t>Diurno</t>
  </si>
  <si>
    <t>Noturno</t>
  </si>
  <si>
    <t>Incidência de GPS, FGTS e outras contribuições sobre o Aviso Prévio Trabalhado - Memória de Cálculo: Encargos sobre APT = % do Submódulo 2.2 × % Aviso Prévio Trabalhado</t>
  </si>
  <si>
    <t>Multa do FGTS e contribuição social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</si>
  <si>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Substituto nas Ausências Legais</t>
  </si>
  <si>
    <t>Substituto na cobertura Férias - Arts. 129 e 130, inc. I, da CLT. (Será pago somente após o 1º ano de contrato)</t>
  </si>
  <si>
    <t>Substituto na Intrajornada</t>
  </si>
  <si>
    <t>UNIFORME</t>
  </si>
  <si>
    <t>Vida útil (Meses)</t>
  </si>
  <si>
    <t>Quantidade Anualmente</t>
  </si>
  <si>
    <t>Valor total</t>
  </si>
  <si>
    <t>Crachá de identificação</t>
  </si>
  <si>
    <t>Valor Unitário</t>
  </si>
  <si>
    <t>Incidência do FGTS Sobre o Aviso Prévio Indenizado - Memória de Cálculo: FGTS sobre API = API × 0,08 × 100 → % FGTS sobre API = 0,0042 × 0,08 × 100 ≅ 0,03% (Alíquota do FGTS: 8%)</t>
  </si>
  <si>
    <t>Multa do FGTS e contribuição social sobre o aviso prévio indenizado - Memória de Cálculo: Multa sobre FGTS = [1 + 2/12 + (1/3 x 1/12)] x 0,08 × 0,4 × 0,9 × 100 ≅ 3,44% (1 = Remuneração mensal; 2/12 = Estimativa de 13º e férias; (1/3 x 1/12) = Estimativa de 1/3 de férias; 8% = alíquota do FGTS/ 40% = Alíquota da Multa sobre o saldo do FGTS; 90% = Funcionários remanescentes (estimativa de 10% dos funcionários pedirem demissão)</t>
  </si>
  <si>
    <t>Substituto na cobertura de Outras Ausências (doença). Memória de Cálculo: LM = (5 ÷ 30 ÷ 12) × 100 ≅ 1,39% (Estimativa de 5 dias de licença por ano)</t>
  </si>
  <si>
    <t>Base de cálculo para tributos = Módulo 01 + Módulo 02 + Módulo 03 + Módulo 04 + Módulo 05 + Custos Indiretos + Lucro</t>
  </si>
  <si>
    <t>Substituto na cobertura de Afastamento Maternidade - Art. 7º, XIX, CF/88 e 10, § 1º da CLT - Memória de Cálculo: LM = 1/12 + (1/3 x 1/12) x 44% x 20% x (4/12) ≅ 0,33%. Provisão de férias = 1/12; Provisão mensal de 1/3 de férias = (1/13*1/12); Anuário Estatístico do RAIS indica que 44% dos empregados são mulheres (filtro: Ceará, serviços, ano 2020). Estima-se que é concedido 20% de salário maternidade em relação a quantidade de mulheres empregadas. Período de 4 meses de licença durante um ano = 4/12.</t>
  </si>
  <si>
    <t>INSS (art. 22, I, Lei 8.212/1991)</t>
  </si>
  <si>
    <t>SALÁRIO EDUCAÇÃO (art. 15, Lei nº 9.424/1996 e art. 1º, § 1º, Decreto 6.003/2006)</t>
  </si>
  <si>
    <t>SESC OU SESI (art. 30, Lei 8.036/1990)</t>
  </si>
  <si>
    <t>SENAI - SENAC (Decreto 2.318/1986)</t>
  </si>
  <si>
    <t>SEBRAE (Lei 8.029/1990)</t>
  </si>
  <si>
    <t>INCRA (arts. 1º e 2º, DL nº 1.146/1970)</t>
  </si>
  <si>
    <t>FGTS (art. 15, Lei 8.030/1990)</t>
  </si>
  <si>
    <t xml:space="preserve">SAT = RISCOS AMBIENTAIS DO TRABALHO - RAT (art. 22, II, Lei nº 8.212/1991 e Anexo V, Decreto 6.957/2009) x FATOR ACIDENTÁRIO DE PREVENÇÃO - FAP (Decreto 6.957/2009) - (Enviar Gfip + Fapweb para conferência) </t>
  </si>
  <si>
    <t>13º (décimo terceiro) Salário - Memória de Cálculo: 1/12(meses) x  100 % = 8,33% (art. 7º, VIII, CF)</t>
  </si>
  <si>
    <t xml:space="preserve">Férias e Adicional de Férias - Memória de Cálculo: [1/12(meses) +1/12(meses)x1/3] x  100 % = 11,11% (art. 130, I, CLT e 7º, XVII, CF/1988). </t>
  </si>
  <si>
    <t>Aviso Prévio Indenizado - Memória de Cálculo: (1 mês não trabalhado / 12 meses) X 5% de rotatividade anual ≅ 0,42% (art. 487, § 1º CLT)</t>
  </si>
  <si>
    <t>Aviso Prévio Trabalhado - Memória de Cálculo: APT = (7/30) ÷ 12 × 100 ∴ % APT ≅ 1,94% (7/30 = proporção de dias de aviso prévio a que o empregado tem direito de se ausentar durante o mês; 12 = número de meses do ano) (art. 487, § 1º CLT)</t>
  </si>
  <si>
    <t>Substituto na cobertura da Licença Paternidade - Memória de Cálculo: LP = (5 ÷ 30 ÷ 12) × 1,5% × 100 ≅ 0,02%. Estimativa de 5 dias de ausência legal por ano (período da licença paternidade). Dados do IBGE: 1,5% é a média de trabalhadores que são pais durante o ano) (art. 7º, XIX, CF).</t>
  </si>
  <si>
    <t>Substituto na cobertura das Ausências Legais - Memória de Cálculo: AL = (1 ÷ 30 ÷ 12) × 100 ≅ 0,28% (Estimativa de 1 dia de licença por ano com falta justificada: doação de sangue, retirar título de eleitor, falecimento de cônjuge etc) (art. 473, CLT).</t>
  </si>
  <si>
    <t>Substituto na cobertura da Ausência por Acidente de Trabalho - Memória de Cálculo: AT = (1 ÷ 12) × 0,0178 × 100 ≅ 0,15% (Estimativa de 1 (uma) licença de 30 (trinta) dias por ano e de 1,78% dos empregados usufruindo 30 (trinta) dias de licença por ano) (art. 131, CLT c/c art. 27, Decreto nº 89.312/1984).</t>
  </si>
  <si>
    <t>Nº DO PROCESSO: 08270.014778/2023-22</t>
  </si>
  <si>
    <t>CE000508/2023</t>
  </si>
  <si>
    <t>Recepcionista e Assistente Administrativo</t>
  </si>
  <si>
    <t>4221-05 e 4110-10</t>
  </si>
  <si>
    <t>Assistente Administrativo</t>
  </si>
  <si>
    <t>Salário Base (cláusula terceita da CCT - 5ª faixa)</t>
  </si>
  <si>
    <t>44h semanais</t>
  </si>
  <si>
    <t>Recepcionista
(12x36h)</t>
  </si>
  <si>
    <t>Adicional de Hora Extras Mensais (horário noturno) - Memória de Cálculo: [Salário Base/220h x 15 horas extras mensais x 175% referente ao acréscimo de 75% referente às horas extras) (cláusula nona e cláusula trigésima primeira, parágrafo sexto da CCT)</t>
  </si>
  <si>
    <t>Terceirização de mão de obra</t>
  </si>
  <si>
    <t>Adicional de Periculosidade e Insalubridade (não há previsão normativa)</t>
  </si>
  <si>
    <t>Vale-Refeição - Memória de Cálculo: [R$ 24,80 x dias trabalhados (22 dias para jornada de 44h semanais e 15 dias para jornada de 12x36h - 1% desconto do valor total das refeições recebidas] (Cláusula décima quarta, parágrafos térceiro e décimo da CCT)</t>
  </si>
  <si>
    <t>Vale Transporte para município de Fortaleza/CE - Memória de Cálculo: [R$ 4,50 x dias trabalhados (22 dias para jornada de 44h semanais e 15 dias para jornada de 12x36h) x 2 (ida e volta) - desconto de 6% do salário base para regime de 44h semananis ou 3% do salário base para regime de revezamento 12x36h] (Cláusula décima quinta, parágrafos primeiro e segundo da CCT)</t>
  </si>
  <si>
    <t>Plano de Saúde - Memória de Cálculo: [R$ 90,00 ÷ 2  (Cláusula décima sexta, parágrafo primeiro da CCT)</t>
  </si>
  <si>
    <t>Auxílio Creche  - Memória de Cálculo: [R$ 235,59 x 6 meses ÷ 120 meses (duração máxima do contrato) x 1% probabilidade de ocorrer nascimentos durante execução contratual (Cláusula décima oitava da CCT)</t>
  </si>
  <si>
    <t>Cesta Básica (Cláusula décima terceira da CCT)</t>
  </si>
  <si>
    <t>Auxílio Morte/Funeral - Memória de Cálculo: [ 3 x salário base x 1% probabilidade de ocorrer falecimentos durante execução contratual (Cláusula décima sétima da CCT)</t>
  </si>
  <si>
    <t>Substituto na cobertura de Intervalo para repouso ou alimentação - Memória de Cálculo: [Salário base / 220h x 75% sobre a hora normal de trabalho x 15 dias trablahados no mês) (Cláusula trigésima primeira, parágrafo quarto  da CCT)</t>
  </si>
  <si>
    <t>Calça ou saia na altura do joelho, em tecido microfibra, na cor preto ou azul marinho.</t>
  </si>
  <si>
    <t>Camisas de algodão ou seda, manga curta, na cor branca, que contenha o emblema da empresa de forma discreta.</t>
  </si>
  <si>
    <t>Par de sapatos social pretos ou marrom tipo coturno (par)</t>
  </si>
  <si>
    <t>Pares de Meias cor preta para homens e Pares de meias finas, na cor da pele para mulheres</t>
  </si>
  <si>
    <t>Cinto na cor preta.</t>
  </si>
  <si>
    <t>Adicional Noturno - Memória de Cálculo: [Salário Base/220h x Adicional Noturno de 21% (CCT) x 7 horas (entre 22h e 5h) x 15 dias (jornada de trabalho 12x36h) (cláusula décima e cláusula trigésima primeira, parágrafo segundo da CCT)</t>
  </si>
  <si>
    <t>Recepcionista</t>
  </si>
  <si>
    <t>Shopping Iguatemi Bosque</t>
  </si>
  <si>
    <t>Aeroporto Internacional Pinto Martins</t>
  </si>
  <si>
    <t>Jornada de Trabalho</t>
  </si>
  <si>
    <t>12h x 36h</t>
  </si>
  <si>
    <t>LICITAÇÃO (PREGÃO ELETRÔNICO) Nº: 01/2024</t>
  </si>
  <si>
    <t>01/jan/2023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</si>
</sst>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  <numFmt numFmtId="169" formatCode="_-* #,##0.00_-;\-* #,##0.00_-;_-* \-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0" fillId="0" borderId="0"/>
    <xf numFmtId="0" fontId="11" fillId="0" borderId="0"/>
    <xf numFmtId="169" fontId="12" fillId="0" borderId="0" applyBorder="0" applyProtection="0"/>
    <xf numFmtId="44" fontId="1" fillId="0" borderId="0" applyFont="0" applyFill="0" applyBorder="0" applyAlignment="0" applyProtection="0"/>
  </cellStyleXfs>
  <cellXfs count="122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0" fontId="5" fillId="0" borderId="0" xfId="1" applyNumberFormat="1" applyFont="1" applyFill="1"/>
    <xf numFmtId="10" fontId="6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0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3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165" fontId="5" fillId="0" borderId="1" xfId="0" applyNumberFormat="1" applyFont="1" applyBorder="1" applyAlignment="1">
      <alignment horizontal="center" vertical="center"/>
    </xf>
    <xf numFmtId="44" fontId="5" fillId="0" borderId="1" xfId="3" applyFont="1" applyFill="1" applyBorder="1" applyAlignment="1">
      <alignment horizontal="center" vertical="center"/>
    </xf>
    <xf numFmtId="44" fontId="6" fillId="0" borderId="0" xfId="3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1" xfId="3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4" fontId="5" fillId="0" borderId="1" xfId="3" applyFont="1" applyFill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44" fontId="6" fillId="0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44" fontId="8" fillId="3" borderId="1" xfId="3" applyFont="1" applyFill="1" applyBorder="1" applyAlignment="1">
      <alignment horizontal="center" vertical="center" wrapText="1"/>
    </xf>
    <xf numFmtId="0" fontId="8" fillId="3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0" fillId="3" borderId="1" xfId="3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wrapText="1"/>
    </xf>
    <xf numFmtId="44" fontId="8" fillId="3" borderId="13" xfId="3" applyFont="1" applyFill="1" applyBorder="1" applyAlignment="1">
      <alignment horizontal="center" vertical="center" wrapText="1"/>
    </xf>
    <xf numFmtId="0" fontId="8" fillId="3" borderId="13" xfId="3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44" fontId="9" fillId="3" borderId="7" xfId="0" applyNumberFormat="1" applyFont="1" applyFill="1" applyBorder="1" applyAlignment="1">
      <alignment vertical="center" wrapText="1"/>
    </xf>
    <xf numFmtId="44" fontId="8" fillId="2" borderId="1" xfId="3" applyFont="1" applyFill="1" applyBorder="1" applyAlignment="1">
      <alignment horizontal="center" vertical="center" wrapText="1"/>
    </xf>
    <xf numFmtId="44" fontId="8" fillId="2" borderId="13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0" fontId="6" fillId="0" borderId="19" xfId="0" applyNumberFormat="1" applyFont="1" applyBorder="1" applyAlignment="1">
      <alignment horizontal="center" vertical="center"/>
    </xf>
    <xf numFmtId="165" fontId="6" fillId="0" borderId="19" xfId="0" applyNumberFormat="1" applyFont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horizontal="center" wrapText="1"/>
    </xf>
    <xf numFmtId="165" fontId="7" fillId="0" borderId="0" xfId="0" applyNumberFormat="1" applyFont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15">
    <cellStyle name="Moeda" xfId="3" builtinId="4"/>
    <cellStyle name="Moeda 2" xfId="5" xr:uid="{00000000-0005-0000-0000-000001000000}"/>
    <cellStyle name="Moeda 2 2" xfId="8" xr:uid="{71324776-1CE7-4D5A-AD93-00E057649C0E}"/>
    <cellStyle name="Moeda 2 4" xfId="14" xr:uid="{486EFABB-29CF-43FF-A5E2-827ACAB28F03}"/>
    <cellStyle name="Moeda 3" xfId="7" xr:uid="{8E7A64C3-CBEF-4B22-BF48-35B868276699}"/>
    <cellStyle name="Normal" xfId="0" builtinId="0"/>
    <cellStyle name="Normal 2" xfId="4" xr:uid="{00000000-0005-0000-0000-000003000000}"/>
    <cellStyle name="Normal 2 2" xfId="11" xr:uid="{3D2F27E6-2235-4265-8A9F-50E26B085931}"/>
    <cellStyle name="Normal 3" xfId="2" xr:uid="{00000000-0005-0000-0000-000004000000}"/>
    <cellStyle name="Normal 3 2" xfId="12" xr:uid="{CFDF936F-CB83-4226-9B71-A951411577AF}"/>
    <cellStyle name="Normal 4" xfId="6" xr:uid="{00000000-0005-0000-0000-000005000000}"/>
    <cellStyle name="Normal 4 2" xfId="9" xr:uid="{9030ADC0-089B-46DF-A08A-EA08EEA83555}"/>
    <cellStyle name="Porcentagem" xfId="1" builtinId="5"/>
    <cellStyle name="Vírgula 2" xfId="13" xr:uid="{89DD20DA-97AE-4C3B-AAD1-49CAF6B0E80D}"/>
    <cellStyle name="Vírgula 3" xfId="10" xr:uid="{70745D89-FD51-4AE0-902E-B936497FA18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EF17-A864-495A-A1EC-2954EC74E1DE}">
  <dimension ref="A1:K5"/>
  <sheetViews>
    <sheetView tabSelected="1" zoomScale="115" zoomScaleNormal="115" workbookViewId="0">
      <selection activeCell="K1" sqref="K1"/>
    </sheetView>
  </sheetViews>
  <sheetFormatPr defaultColWidth="9.1796875" defaultRowHeight="24" customHeight="1" x14ac:dyDescent="0.35"/>
  <cols>
    <col min="1" max="1" width="6.54296875" style="25" bestFit="1" customWidth="1"/>
    <col min="2" max="2" width="5.1796875" style="25" bestFit="1" customWidth="1"/>
    <col min="3" max="3" width="16.1796875" style="25" customWidth="1"/>
    <col min="4" max="4" width="8.1796875" style="77" customWidth="1"/>
    <col min="5" max="5" width="7.81640625" style="25" bestFit="1" customWidth="1"/>
    <col min="6" max="6" width="12.81640625" style="25" customWidth="1"/>
    <col min="7" max="7" width="20.81640625" style="25" customWidth="1"/>
    <col min="8" max="8" width="11.81640625" style="25" customWidth="1"/>
    <col min="9" max="10" width="14.54296875" style="25" customWidth="1"/>
    <col min="11" max="11" width="15.54296875" style="77" bestFit="1" customWidth="1"/>
    <col min="12" max="16384" width="9.1796875" style="25"/>
  </cols>
  <sheetData>
    <row r="1" spans="1:11" ht="31.5" customHeight="1" x14ac:dyDescent="0.35">
      <c r="A1" s="21" t="s">
        <v>62</v>
      </c>
      <c r="B1" s="21" t="s">
        <v>63</v>
      </c>
      <c r="C1" s="24" t="s">
        <v>64</v>
      </c>
      <c r="D1" s="21" t="s">
        <v>68</v>
      </c>
      <c r="E1" s="21" t="s">
        <v>65</v>
      </c>
      <c r="F1" s="21" t="s">
        <v>132</v>
      </c>
      <c r="G1" s="21" t="s">
        <v>66</v>
      </c>
      <c r="H1" s="21" t="s">
        <v>67</v>
      </c>
      <c r="I1" s="22" t="s">
        <v>69</v>
      </c>
      <c r="J1" s="22" t="s">
        <v>70</v>
      </c>
      <c r="K1" s="22" t="s">
        <v>71</v>
      </c>
    </row>
    <row r="2" spans="1:11" ht="28" customHeight="1" x14ac:dyDescent="0.35">
      <c r="A2" s="79">
        <v>1</v>
      </c>
      <c r="B2" s="23">
        <v>1</v>
      </c>
      <c r="C2" s="76" t="s">
        <v>109</v>
      </c>
      <c r="D2" s="23">
        <v>5380</v>
      </c>
      <c r="E2" s="23" t="s">
        <v>72</v>
      </c>
      <c r="F2" s="23" t="s">
        <v>111</v>
      </c>
      <c r="G2" s="23" t="s">
        <v>130</v>
      </c>
      <c r="H2" s="23">
        <v>14</v>
      </c>
      <c r="I2" s="59">
        <f>'RECEPCIONISTAS E ASSIST. ADMIN.'!E127</f>
        <v>3660.83</v>
      </c>
      <c r="J2" s="59">
        <f>I2*H2</f>
        <v>51251.619999999995</v>
      </c>
      <c r="K2" s="59">
        <f>J2*12</f>
        <v>615019.43999999994</v>
      </c>
    </row>
    <row r="3" spans="1:11" ht="28" customHeight="1" x14ac:dyDescent="0.35">
      <c r="A3" s="79"/>
      <c r="B3" s="23">
        <v>2</v>
      </c>
      <c r="C3" s="76" t="s">
        <v>129</v>
      </c>
      <c r="D3" s="23">
        <v>8729</v>
      </c>
      <c r="E3" s="23" t="s">
        <v>72</v>
      </c>
      <c r="F3" s="23" t="s">
        <v>133</v>
      </c>
      <c r="G3" s="23" t="s">
        <v>131</v>
      </c>
      <c r="H3" s="23">
        <v>4</v>
      </c>
      <c r="I3" s="59">
        <f>'RECEPCIONISTAS E ASSIST. ADMIN.'!F127</f>
        <v>3643.3536363636363</v>
      </c>
      <c r="J3" s="59">
        <f>I3*H3</f>
        <v>14573.414545454545</v>
      </c>
      <c r="K3" s="59">
        <f t="shared" ref="K3:K4" si="0">J3*12</f>
        <v>174880.97454545455</v>
      </c>
    </row>
    <row r="4" spans="1:11" ht="28" customHeight="1" x14ac:dyDescent="0.35">
      <c r="A4" s="79"/>
      <c r="B4" s="23">
        <v>3</v>
      </c>
      <c r="C4" s="76" t="s">
        <v>129</v>
      </c>
      <c r="D4" s="23">
        <v>8729</v>
      </c>
      <c r="E4" s="23" t="s">
        <v>73</v>
      </c>
      <c r="F4" s="23" t="s">
        <v>133</v>
      </c>
      <c r="G4" s="23" t="s">
        <v>131</v>
      </c>
      <c r="H4" s="23">
        <v>8</v>
      </c>
      <c r="I4" s="59">
        <f>'RECEPCIONISTAS E ASSIST. ADMIN.'!G127</f>
        <v>4253.4767272727267</v>
      </c>
      <c r="J4" s="59">
        <f>I4*H4</f>
        <v>34027.813818181814</v>
      </c>
      <c r="K4" s="59">
        <f t="shared" si="0"/>
        <v>408333.7658181818</v>
      </c>
    </row>
    <row r="5" spans="1:11" ht="24" customHeight="1" x14ac:dyDescent="0.35">
      <c r="K5" s="78">
        <f>SUM(K2:K4)</f>
        <v>1198234.1803636365</v>
      </c>
    </row>
  </sheetData>
  <mergeCells count="1">
    <mergeCell ref="A2:A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B1:K144"/>
  <sheetViews>
    <sheetView showGridLines="0" view="pageBreakPreview" topLeftCell="A92" zoomScale="85" zoomScaleNormal="85" zoomScaleSheetLayoutView="85" workbookViewId="0">
      <selection activeCell="E103" sqref="E103"/>
    </sheetView>
  </sheetViews>
  <sheetFormatPr defaultColWidth="9.1796875" defaultRowHeight="14" x14ac:dyDescent="0.3"/>
  <cols>
    <col min="1" max="1" width="2.26953125" style="2" customWidth="1"/>
    <col min="2" max="2" width="4.54296875" style="2" customWidth="1"/>
    <col min="3" max="3" width="63.54296875" style="2" customWidth="1"/>
    <col min="4" max="4" width="12.1796875" style="27" bestFit="1" customWidth="1"/>
    <col min="5" max="5" width="15.36328125" style="2" bestFit="1" customWidth="1"/>
    <col min="6" max="7" width="14.81640625" style="2" customWidth="1"/>
    <col min="8" max="8" width="9.26953125" style="2" customWidth="1"/>
    <col min="9" max="9" width="13.1796875" style="2" customWidth="1"/>
    <col min="10" max="16384" width="9.1796875" style="2"/>
  </cols>
  <sheetData>
    <row r="1" spans="2:7" ht="16.5" customHeight="1" thickBot="1" x14ac:dyDescent="0.35"/>
    <row r="2" spans="2:7" ht="22.5" customHeight="1" thickBot="1" x14ac:dyDescent="0.35">
      <c r="B2" s="83" t="s">
        <v>55</v>
      </c>
      <c r="C2" s="84"/>
      <c r="D2" s="84"/>
      <c r="E2" s="84"/>
      <c r="F2" s="84"/>
      <c r="G2" s="85"/>
    </row>
    <row r="3" spans="2:7" ht="22.5" customHeight="1" x14ac:dyDescent="0.3">
      <c r="B3" s="86" t="s">
        <v>105</v>
      </c>
      <c r="C3" s="86"/>
      <c r="D3" s="86"/>
      <c r="E3" s="86"/>
      <c r="F3" s="86"/>
      <c r="G3" s="86"/>
    </row>
    <row r="4" spans="2:7" ht="22.5" customHeight="1" x14ac:dyDescent="0.3">
      <c r="B4" s="87" t="s">
        <v>134</v>
      </c>
      <c r="C4" s="87"/>
      <c r="D4" s="87"/>
      <c r="E4" s="87"/>
      <c r="F4" s="87"/>
      <c r="G4" s="87"/>
    </row>
    <row r="5" spans="2:7" ht="35.25" customHeight="1" thickBot="1" x14ac:dyDescent="0.35">
      <c r="B5" s="34"/>
      <c r="C5" s="34"/>
      <c r="D5" s="34"/>
      <c r="E5" s="34"/>
    </row>
    <row r="6" spans="2:7" ht="22.5" customHeight="1" thickBot="1" x14ac:dyDescent="0.35">
      <c r="B6" s="83" t="s">
        <v>27</v>
      </c>
      <c r="C6" s="84"/>
      <c r="D6" s="84"/>
      <c r="E6" s="84"/>
      <c r="F6" s="84"/>
      <c r="G6" s="85"/>
    </row>
    <row r="7" spans="2:7" ht="18.75" customHeight="1" x14ac:dyDescent="0.3">
      <c r="B7" s="39" t="s">
        <v>2</v>
      </c>
      <c r="C7" s="104" t="s">
        <v>23</v>
      </c>
      <c r="D7" s="104"/>
      <c r="E7" s="104"/>
      <c r="F7" s="98"/>
      <c r="G7" s="99"/>
    </row>
    <row r="8" spans="2:7" ht="18.75" customHeight="1" x14ac:dyDescent="0.3">
      <c r="B8" s="20" t="s">
        <v>3</v>
      </c>
      <c r="C8" s="82" t="s">
        <v>24</v>
      </c>
      <c r="D8" s="82"/>
      <c r="E8" s="82"/>
      <c r="F8" s="100" t="s">
        <v>60</v>
      </c>
      <c r="G8" s="101"/>
    </row>
    <row r="9" spans="2:7" ht="21.75" customHeight="1" x14ac:dyDescent="0.3">
      <c r="B9" s="20" t="s">
        <v>4</v>
      </c>
      <c r="C9" s="82" t="s">
        <v>25</v>
      </c>
      <c r="D9" s="82"/>
      <c r="E9" s="82"/>
      <c r="F9" s="102" t="s">
        <v>106</v>
      </c>
      <c r="G9" s="103"/>
    </row>
    <row r="10" spans="2:7" ht="18.75" customHeight="1" x14ac:dyDescent="0.3">
      <c r="B10" s="20" t="s">
        <v>5</v>
      </c>
      <c r="C10" s="82" t="s">
        <v>26</v>
      </c>
      <c r="D10" s="82"/>
      <c r="E10" s="82"/>
      <c r="F10" s="100">
        <v>12</v>
      </c>
      <c r="G10" s="101"/>
    </row>
    <row r="11" spans="2:7" ht="30.75" customHeight="1" thickBot="1" x14ac:dyDescent="0.35">
      <c r="B11" s="15"/>
      <c r="C11" s="36"/>
      <c r="D11" s="15"/>
      <c r="E11" s="36"/>
    </row>
    <row r="12" spans="2:7" ht="18.75" customHeight="1" thickBot="1" x14ac:dyDescent="0.35">
      <c r="B12" s="88" t="s">
        <v>22</v>
      </c>
      <c r="C12" s="89"/>
      <c r="D12" s="89"/>
      <c r="E12" s="89"/>
      <c r="F12" s="89"/>
      <c r="G12" s="90"/>
    </row>
    <row r="13" spans="2:7" ht="18.75" customHeight="1" x14ac:dyDescent="0.3">
      <c r="B13" s="91" t="s">
        <v>48</v>
      </c>
      <c r="C13" s="92"/>
      <c r="D13" s="92"/>
      <c r="E13" s="92"/>
      <c r="F13" s="92"/>
      <c r="G13" s="93"/>
    </row>
    <row r="14" spans="2:7" ht="31.5" customHeight="1" x14ac:dyDescent="0.3">
      <c r="B14" s="20">
        <v>1</v>
      </c>
      <c r="C14" s="82" t="s">
        <v>21</v>
      </c>
      <c r="D14" s="82"/>
      <c r="E14" s="82"/>
      <c r="F14" s="102" t="s">
        <v>114</v>
      </c>
      <c r="G14" s="103"/>
    </row>
    <row r="15" spans="2:7" ht="19.5" customHeight="1" x14ac:dyDescent="0.3">
      <c r="B15" s="20">
        <v>2</v>
      </c>
      <c r="C15" s="82" t="s">
        <v>49</v>
      </c>
      <c r="D15" s="82"/>
      <c r="E15" s="82"/>
      <c r="F15" s="102" t="s">
        <v>108</v>
      </c>
      <c r="G15" s="103"/>
    </row>
    <row r="16" spans="2:7" ht="19.5" customHeight="1" x14ac:dyDescent="0.3">
      <c r="B16" s="20">
        <v>3</v>
      </c>
      <c r="C16" s="81" t="s">
        <v>61</v>
      </c>
      <c r="D16" s="81"/>
      <c r="E16" s="81"/>
      <c r="F16" s="105">
        <v>1493.6</v>
      </c>
      <c r="G16" s="106"/>
    </row>
    <row r="17" spans="2:8" ht="29.25" customHeight="1" x14ac:dyDescent="0.3">
      <c r="B17" s="20">
        <v>4</v>
      </c>
      <c r="C17" s="82" t="s">
        <v>50</v>
      </c>
      <c r="D17" s="82"/>
      <c r="E17" s="82"/>
      <c r="F17" s="102" t="s">
        <v>107</v>
      </c>
      <c r="G17" s="103"/>
    </row>
    <row r="18" spans="2:8" ht="19.5" customHeight="1" x14ac:dyDescent="0.3">
      <c r="B18" s="20">
        <v>5</v>
      </c>
      <c r="C18" s="82" t="s">
        <v>20</v>
      </c>
      <c r="D18" s="82"/>
      <c r="E18" s="82"/>
      <c r="F18" s="95" t="s">
        <v>135</v>
      </c>
      <c r="G18" s="96"/>
    </row>
    <row r="19" spans="2:8" ht="29.25" customHeight="1" thickBot="1" x14ac:dyDescent="0.35">
      <c r="B19" s="15"/>
      <c r="C19" s="36"/>
      <c r="D19" s="37"/>
      <c r="E19" s="38"/>
    </row>
    <row r="20" spans="2:8" ht="24.75" customHeight="1" thickBot="1" x14ac:dyDescent="0.35">
      <c r="B20" s="88" t="s">
        <v>10</v>
      </c>
      <c r="C20" s="89"/>
      <c r="D20" s="89"/>
      <c r="E20" s="89"/>
      <c r="F20" s="89"/>
      <c r="G20" s="90"/>
      <c r="H20" s="28"/>
    </row>
    <row r="21" spans="2:8" ht="32.25" customHeight="1" x14ac:dyDescent="0.3">
      <c r="B21" s="107">
        <v>1</v>
      </c>
      <c r="C21" s="108" t="s">
        <v>1</v>
      </c>
      <c r="D21" s="107" t="s">
        <v>56</v>
      </c>
      <c r="E21" s="68" t="s">
        <v>109</v>
      </c>
      <c r="F21" s="97" t="s">
        <v>112</v>
      </c>
      <c r="G21" s="97"/>
    </row>
    <row r="22" spans="2:8" x14ac:dyDescent="0.3">
      <c r="B22" s="80"/>
      <c r="C22" s="107"/>
      <c r="D22" s="80"/>
      <c r="E22" s="44" t="s">
        <v>111</v>
      </c>
      <c r="F22" s="44" t="s">
        <v>72</v>
      </c>
      <c r="G22" s="33" t="s">
        <v>73</v>
      </c>
    </row>
    <row r="23" spans="2:8" ht="21" customHeight="1" x14ac:dyDescent="0.3">
      <c r="B23" s="20" t="s">
        <v>2</v>
      </c>
      <c r="C23" s="81" t="s">
        <v>110</v>
      </c>
      <c r="D23" s="81"/>
      <c r="E23" s="30">
        <f>F16</f>
        <v>1493.6</v>
      </c>
      <c r="F23" s="30">
        <f>F16</f>
        <v>1493.6</v>
      </c>
      <c r="G23" s="30">
        <f>F16</f>
        <v>1493.6</v>
      </c>
    </row>
    <row r="24" spans="2:8" ht="21" customHeight="1" x14ac:dyDescent="0.3">
      <c r="B24" s="20" t="s">
        <v>3</v>
      </c>
      <c r="C24" s="4" t="s">
        <v>115</v>
      </c>
      <c r="D24" s="20"/>
      <c r="E24" s="30">
        <v>0</v>
      </c>
      <c r="F24" s="41">
        <v>0</v>
      </c>
      <c r="G24" s="41">
        <v>0</v>
      </c>
    </row>
    <row r="25" spans="2:8" ht="56" x14ac:dyDescent="0.3">
      <c r="B25" s="20" t="s">
        <v>4</v>
      </c>
      <c r="C25" s="5" t="s">
        <v>128</v>
      </c>
      <c r="D25" s="69">
        <v>0.21</v>
      </c>
      <c r="E25" s="30">
        <v>0</v>
      </c>
      <c r="F25" s="41">
        <v>0</v>
      </c>
      <c r="G25" s="41">
        <f>(G23/220)*D25*7*15</f>
        <v>149.69945454545453</v>
      </c>
    </row>
    <row r="26" spans="2:8" ht="64.5" customHeight="1" x14ac:dyDescent="0.3">
      <c r="B26" s="20" t="s">
        <v>5</v>
      </c>
      <c r="C26" s="5" t="s">
        <v>113</v>
      </c>
      <c r="D26" s="70">
        <v>0.75</v>
      </c>
      <c r="E26" s="30">
        <v>0</v>
      </c>
      <c r="F26" s="41">
        <v>0</v>
      </c>
      <c r="G26" s="41">
        <f>(G23/220)*(1+D26)*15</f>
        <v>178.21363636363637</v>
      </c>
    </row>
    <row r="27" spans="2:8" ht="18" customHeight="1" x14ac:dyDescent="0.3">
      <c r="B27" s="80" t="s">
        <v>0</v>
      </c>
      <c r="C27" s="80"/>
      <c r="D27" s="80"/>
      <c r="E27" s="33">
        <f>SUM(E23:E26)</f>
        <v>1493.6</v>
      </c>
      <c r="F27" s="33">
        <f>SUM(F23:F26)</f>
        <v>1493.6</v>
      </c>
      <c r="G27" s="33">
        <f>SUM(G23:G26)</f>
        <v>1821.5130909090908</v>
      </c>
    </row>
    <row r="28" spans="2:8" ht="30" customHeight="1" thickBot="1" x14ac:dyDescent="0.35">
      <c r="B28" s="32"/>
      <c r="C28" s="32"/>
      <c r="D28" s="32"/>
      <c r="E28" s="31"/>
      <c r="F28" s="31"/>
      <c r="G28" s="31"/>
    </row>
    <row r="29" spans="2:8" ht="27" customHeight="1" thickBot="1" x14ac:dyDescent="0.35">
      <c r="B29" s="88" t="s">
        <v>29</v>
      </c>
      <c r="C29" s="89"/>
      <c r="D29" s="89"/>
      <c r="E29" s="89"/>
      <c r="F29" s="89"/>
      <c r="G29" s="90"/>
    </row>
    <row r="30" spans="2:8" ht="30" customHeight="1" x14ac:dyDescent="0.3">
      <c r="B30" s="107" t="s">
        <v>30</v>
      </c>
      <c r="C30" s="110" t="s">
        <v>31</v>
      </c>
      <c r="D30" s="107" t="s">
        <v>56</v>
      </c>
      <c r="E30" s="68" t="s">
        <v>109</v>
      </c>
      <c r="F30" s="97" t="s">
        <v>112</v>
      </c>
      <c r="G30" s="97"/>
    </row>
    <row r="31" spans="2:8" ht="22.5" customHeight="1" x14ac:dyDescent="0.3">
      <c r="B31" s="80"/>
      <c r="C31" s="111"/>
      <c r="D31" s="80"/>
      <c r="E31" s="44" t="s">
        <v>111</v>
      </c>
      <c r="F31" s="44" t="s">
        <v>72</v>
      </c>
      <c r="G31" s="33" t="s">
        <v>73</v>
      </c>
    </row>
    <row r="32" spans="2:8" ht="31.5" customHeight="1" x14ac:dyDescent="0.3">
      <c r="B32" s="20" t="s">
        <v>2</v>
      </c>
      <c r="C32" s="5" t="s">
        <v>98</v>
      </c>
      <c r="D32" s="1">
        <f>1/12</f>
        <v>8.3333333333333329E-2</v>
      </c>
      <c r="E32" s="29">
        <f>ROUND(D32*E27,2)</f>
        <v>124.47</v>
      </c>
      <c r="F32" s="29">
        <f>ROUND(D32*F27,2)</f>
        <v>124.47</v>
      </c>
      <c r="G32" s="29">
        <f>ROUND(D32*$G$27,2)</f>
        <v>151.79</v>
      </c>
    </row>
    <row r="33" spans="2:7" ht="42" x14ac:dyDescent="0.3">
      <c r="B33" s="20" t="s">
        <v>3</v>
      </c>
      <c r="C33" s="5" t="s">
        <v>99</v>
      </c>
      <c r="D33" s="1">
        <f>1/12+1/12*1/3</f>
        <v>0.1111111111111111</v>
      </c>
      <c r="E33" s="29">
        <f>ROUND(D33*$E$27,2)</f>
        <v>165.96</v>
      </c>
      <c r="F33" s="29">
        <f>ROUND(D33*F27,2)</f>
        <v>165.96</v>
      </c>
      <c r="G33" s="29">
        <f>ROUND(D33*G27,2)</f>
        <v>202.39</v>
      </c>
    </row>
    <row r="34" spans="2:7" ht="22.5" customHeight="1" x14ac:dyDescent="0.3">
      <c r="B34" s="80" t="s">
        <v>58</v>
      </c>
      <c r="C34" s="80"/>
      <c r="D34" s="7">
        <f>D32+D33</f>
        <v>0.19444444444444442</v>
      </c>
      <c r="E34" s="13">
        <f>E32+E33</f>
        <v>290.43</v>
      </c>
      <c r="F34" s="13">
        <f t="shared" ref="F34:G34" si="0">F32+F33</f>
        <v>290.43</v>
      </c>
      <c r="G34" s="13">
        <f t="shared" si="0"/>
        <v>354.17999999999995</v>
      </c>
    </row>
    <row r="35" spans="2:7" ht="32.25" customHeight="1" x14ac:dyDescent="0.3">
      <c r="B35" s="32"/>
      <c r="C35" s="32"/>
      <c r="D35" s="43"/>
      <c r="E35" s="42"/>
      <c r="F35" s="42"/>
      <c r="G35" s="42"/>
    </row>
    <row r="36" spans="2:7" ht="35.25" customHeight="1" x14ac:dyDescent="0.3">
      <c r="B36" s="80" t="s">
        <v>33</v>
      </c>
      <c r="C36" s="109" t="s">
        <v>32</v>
      </c>
      <c r="D36" s="80" t="s">
        <v>9</v>
      </c>
      <c r="E36" s="67" t="s">
        <v>109</v>
      </c>
      <c r="F36" s="94" t="s">
        <v>112</v>
      </c>
      <c r="G36" s="94"/>
    </row>
    <row r="37" spans="2:7" ht="19.5" customHeight="1" x14ac:dyDescent="0.3">
      <c r="B37" s="80"/>
      <c r="C37" s="109"/>
      <c r="D37" s="80"/>
      <c r="E37" s="44" t="s">
        <v>111</v>
      </c>
      <c r="F37" s="44" t="s">
        <v>72</v>
      </c>
      <c r="G37" s="33" t="s">
        <v>73</v>
      </c>
    </row>
    <row r="38" spans="2:7" ht="23.25" customHeight="1" x14ac:dyDescent="0.3">
      <c r="B38" s="20" t="s">
        <v>2</v>
      </c>
      <c r="C38" s="5" t="s">
        <v>90</v>
      </c>
      <c r="D38" s="1">
        <v>0.2</v>
      </c>
      <c r="E38" s="29">
        <f>ROUND($D$38*(E27+E34),2)</f>
        <v>356.81</v>
      </c>
      <c r="F38" s="29">
        <f t="shared" ref="F38:F45" si="1">ROUND(D38*($F$27+$F$34),2)</f>
        <v>356.81</v>
      </c>
      <c r="G38" s="29">
        <f t="shared" ref="G38:G45" si="2">ROUND(D38*($G$27+$G$34),2)</f>
        <v>435.14</v>
      </c>
    </row>
    <row r="39" spans="2:7" ht="28" x14ac:dyDescent="0.3">
      <c r="B39" s="20" t="s">
        <v>3</v>
      </c>
      <c r="C39" s="5" t="s">
        <v>91</v>
      </c>
      <c r="D39" s="1">
        <v>2.5000000000000001E-2</v>
      </c>
      <c r="E39" s="29">
        <f>ROUND(D39*($E$27+$E$34),2)</f>
        <v>44.6</v>
      </c>
      <c r="F39" s="29">
        <f t="shared" si="1"/>
        <v>44.6</v>
      </c>
      <c r="G39" s="29">
        <f t="shared" si="2"/>
        <v>54.39</v>
      </c>
    </row>
    <row r="40" spans="2:7" ht="56" x14ac:dyDescent="0.3">
      <c r="B40" s="20" t="s">
        <v>4</v>
      </c>
      <c r="C40" s="5" t="s">
        <v>97</v>
      </c>
      <c r="D40" s="18"/>
      <c r="E40" s="29">
        <f t="shared" ref="E40:E45" si="3">ROUND(D40*($E$27+$E$34),2)</f>
        <v>0</v>
      </c>
      <c r="F40" s="29">
        <f t="shared" si="1"/>
        <v>0</v>
      </c>
      <c r="G40" s="29">
        <f t="shared" si="2"/>
        <v>0</v>
      </c>
    </row>
    <row r="41" spans="2:7" ht="23.25" customHeight="1" x14ac:dyDescent="0.3">
      <c r="B41" s="20" t="s">
        <v>5</v>
      </c>
      <c r="C41" s="5" t="s">
        <v>92</v>
      </c>
      <c r="D41" s="1">
        <v>1.4999999999999999E-2</v>
      </c>
      <c r="E41" s="29">
        <f t="shared" si="3"/>
        <v>26.76</v>
      </c>
      <c r="F41" s="29">
        <f t="shared" si="1"/>
        <v>26.76</v>
      </c>
      <c r="G41" s="29">
        <f t="shared" si="2"/>
        <v>32.64</v>
      </c>
    </row>
    <row r="42" spans="2:7" ht="23.25" customHeight="1" x14ac:dyDescent="0.3">
      <c r="B42" s="20" t="s">
        <v>6</v>
      </c>
      <c r="C42" s="5" t="s">
        <v>93</v>
      </c>
      <c r="D42" s="1">
        <v>0.01</v>
      </c>
      <c r="E42" s="29">
        <f t="shared" si="3"/>
        <v>17.84</v>
      </c>
      <c r="F42" s="29">
        <f t="shared" si="1"/>
        <v>17.84</v>
      </c>
      <c r="G42" s="29">
        <f t="shared" si="2"/>
        <v>21.76</v>
      </c>
    </row>
    <row r="43" spans="2:7" ht="23.25" customHeight="1" x14ac:dyDescent="0.3">
      <c r="B43" s="20" t="s">
        <v>7</v>
      </c>
      <c r="C43" s="5" t="s">
        <v>94</v>
      </c>
      <c r="D43" s="1">
        <v>6.0000000000000001E-3</v>
      </c>
      <c r="E43" s="29">
        <f t="shared" si="3"/>
        <v>10.7</v>
      </c>
      <c r="F43" s="29">
        <f t="shared" si="1"/>
        <v>10.7</v>
      </c>
      <c r="G43" s="29">
        <f t="shared" si="2"/>
        <v>13.05</v>
      </c>
    </row>
    <row r="44" spans="2:7" ht="23.25" customHeight="1" x14ac:dyDescent="0.3">
      <c r="B44" s="20" t="s">
        <v>8</v>
      </c>
      <c r="C44" s="5" t="s">
        <v>95</v>
      </c>
      <c r="D44" s="1">
        <v>2E-3</v>
      </c>
      <c r="E44" s="29">
        <f t="shared" si="3"/>
        <v>3.57</v>
      </c>
      <c r="F44" s="29">
        <f t="shared" si="1"/>
        <v>3.57</v>
      </c>
      <c r="G44" s="29">
        <f t="shared" si="2"/>
        <v>4.3499999999999996</v>
      </c>
    </row>
    <row r="45" spans="2:7" ht="23.25" customHeight="1" x14ac:dyDescent="0.3">
      <c r="B45" s="20" t="s">
        <v>57</v>
      </c>
      <c r="C45" s="5" t="s">
        <v>96</v>
      </c>
      <c r="D45" s="1">
        <v>0.08</v>
      </c>
      <c r="E45" s="29">
        <f t="shared" si="3"/>
        <v>142.72</v>
      </c>
      <c r="F45" s="29">
        <f t="shared" si="1"/>
        <v>142.72</v>
      </c>
      <c r="G45" s="29">
        <f t="shared" si="2"/>
        <v>174.06</v>
      </c>
    </row>
    <row r="46" spans="2:7" ht="18.75" customHeight="1" x14ac:dyDescent="0.3">
      <c r="B46" s="80" t="s">
        <v>0</v>
      </c>
      <c r="C46" s="80"/>
      <c r="D46" s="7">
        <f>SUM(D38:D45)</f>
        <v>0.33800000000000002</v>
      </c>
      <c r="E46" s="13">
        <f>SUM(E38:E45)</f>
        <v>603</v>
      </c>
      <c r="F46" s="13">
        <f t="shared" ref="F46:G46" si="4">SUM(F38:F45)</f>
        <v>603</v>
      </c>
      <c r="G46" s="13">
        <f t="shared" si="4"/>
        <v>735.38999999999987</v>
      </c>
    </row>
    <row r="47" spans="2:7" ht="23.25" customHeight="1" x14ac:dyDescent="0.3">
      <c r="B47" s="71"/>
      <c r="C47" s="71"/>
      <c r="D47" s="72"/>
      <c r="E47" s="73"/>
      <c r="F47" s="73"/>
      <c r="G47" s="73"/>
    </row>
    <row r="48" spans="2:7" ht="34.5" customHeight="1" x14ac:dyDescent="0.3">
      <c r="B48" s="80" t="s">
        <v>34</v>
      </c>
      <c r="C48" s="111" t="s">
        <v>11</v>
      </c>
      <c r="D48" s="80" t="s">
        <v>9</v>
      </c>
      <c r="E48" s="67" t="s">
        <v>109</v>
      </c>
      <c r="F48" s="94" t="s">
        <v>112</v>
      </c>
      <c r="G48" s="94"/>
    </row>
    <row r="49" spans="2:7" ht="20.25" customHeight="1" x14ac:dyDescent="0.3">
      <c r="B49" s="80"/>
      <c r="C49" s="111"/>
      <c r="D49" s="80"/>
      <c r="E49" s="44" t="s">
        <v>111</v>
      </c>
      <c r="F49" s="44" t="s">
        <v>72</v>
      </c>
      <c r="G49" s="33" t="s">
        <v>73</v>
      </c>
    </row>
    <row r="50" spans="2:7" ht="84" x14ac:dyDescent="0.3">
      <c r="B50" s="35" t="s">
        <v>2</v>
      </c>
      <c r="C50" s="45" t="s">
        <v>117</v>
      </c>
      <c r="D50" s="17">
        <v>4.5</v>
      </c>
      <c r="E50" s="29">
        <f>D50*22*2-(6%*E23)</f>
        <v>108.38400000000001</v>
      </c>
      <c r="F50" s="29">
        <f>D50*15*2-(3%*F23)</f>
        <v>90.192000000000007</v>
      </c>
      <c r="G50" s="29">
        <f>D50*15*2-(3%*G23)</f>
        <v>90.192000000000007</v>
      </c>
    </row>
    <row r="51" spans="2:7" ht="56" x14ac:dyDescent="0.3">
      <c r="B51" s="20" t="s">
        <v>3</v>
      </c>
      <c r="C51" s="5" t="s">
        <v>116</v>
      </c>
      <c r="D51" s="8">
        <v>24.8</v>
      </c>
      <c r="E51" s="46">
        <f>22*$D$51*99%</f>
        <v>540.14400000000001</v>
      </c>
      <c r="F51" s="46">
        <f>15*$D$51*99%</f>
        <v>368.28</v>
      </c>
      <c r="G51" s="46">
        <f>15*$D$51*99%</f>
        <v>368.28</v>
      </c>
    </row>
    <row r="52" spans="2:7" ht="33" customHeight="1" x14ac:dyDescent="0.3">
      <c r="B52" s="20" t="s">
        <v>4</v>
      </c>
      <c r="C52" s="5" t="s">
        <v>118</v>
      </c>
      <c r="D52" s="8">
        <v>90</v>
      </c>
      <c r="E52" s="29">
        <f>D52/2</f>
        <v>45</v>
      </c>
      <c r="F52" s="29">
        <f>D52/2</f>
        <v>45</v>
      </c>
      <c r="G52" s="8">
        <f>D52/2</f>
        <v>45</v>
      </c>
    </row>
    <row r="53" spans="2:7" ht="56" x14ac:dyDescent="0.3">
      <c r="B53" s="20" t="s">
        <v>5</v>
      </c>
      <c r="C53" s="5" t="s">
        <v>119</v>
      </c>
      <c r="D53" s="8">
        <v>235.59</v>
      </c>
      <c r="E53" s="29">
        <f>($D$53*6/120)*0.1%</f>
        <v>1.17795E-2</v>
      </c>
      <c r="F53" s="29">
        <f>($D$53*6/120)*0.1%</f>
        <v>1.17795E-2</v>
      </c>
      <c r="G53" s="29">
        <f>($D$53*6/120)*0.1%</f>
        <v>1.17795E-2</v>
      </c>
    </row>
    <row r="54" spans="2:7" ht="21" customHeight="1" x14ac:dyDescent="0.3">
      <c r="B54" s="20" t="s">
        <v>6</v>
      </c>
      <c r="C54" s="5" t="s">
        <v>120</v>
      </c>
      <c r="D54" s="8">
        <v>94.5</v>
      </c>
      <c r="E54" s="29">
        <f>D54</f>
        <v>94.5</v>
      </c>
      <c r="F54" s="29">
        <f>D54</f>
        <v>94.5</v>
      </c>
      <c r="G54" s="29">
        <f>D54</f>
        <v>94.5</v>
      </c>
    </row>
    <row r="55" spans="2:7" ht="42" x14ac:dyDescent="0.3">
      <c r="B55" s="20" t="s">
        <v>7</v>
      </c>
      <c r="C55" s="5" t="s">
        <v>121</v>
      </c>
      <c r="D55" s="8"/>
      <c r="E55" s="29">
        <f>3*E23*0.01%</f>
        <v>0.44807999999999992</v>
      </c>
      <c r="F55" s="29">
        <f>3*F23*0.01%</f>
        <v>0.44807999999999992</v>
      </c>
      <c r="G55" s="29">
        <f>3*G23*0.01%</f>
        <v>0.44807999999999992</v>
      </c>
    </row>
    <row r="56" spans="2:7" ht="18.75" customHeight="1" x14ac:dyDescent="0.3">
      <c r="B56" s="80" t="s">
        <v>0</v>
      </c>
      <c r="C56" s="80"/>
      <c r="D56" s="80"/>
      <c r="E56" s="13">
        <f>ROUND(SUM(E50:E55),2)</f>
        <v>788.49</v>
      </c>
      <c r="F56" s="13">
        <f>ROUND(SUM(F50:F55),2)</f>
        <v>598.42999999999995</v>
      </c>
      <c r="G56" s="13">
        <f>ROUND(SUM(G50:G55),2)</f>
        <v>598.42999999999995</v>
      </c>
    </row>
    <row r="57" spans="2:7" ht="33" customHeight="1" thickBot="1" x14ac:dyDescent="0.35">
      <c r="B57" s="32"/>
      <c r="C57" s="32"/>
      <c r="D57" s="32"/>
      <c r="E57" s="42"/>
    </row>
    <row r="58" spans="2:7" ht="18.75" customHeight="1" thickBot="1" x14ac:dyDescent="0.35">
      <c r="B58" s="83" t="s">
        <v>35</v>
      </c>
      <c r="C58" s="84"/>
      <c r="D58" s="84"/>
      <c r="E58" s="84"/>
      <c r="F58" s="84"/>
      <c r="G58" s="85"/>
    </row>
    <row r="59" spans="2:7" ht="32.25" customHeight="1" x14ac:dyDescent="0.3">
      <c r="B59" s="107">
        <v>2</v>
      </c>
      <c r="C59" s="110" t="s">
        <v>36</v>
      </c>
      <c r="D59" s="110"/>
      <c r="E59" s="68" t="s">
        <v>109</v>
      </c>
      <c r="F59" s="97" t="s">
        <v>112</v>
      </c>
      <c r="G59" s="97"/>
    </row>
    <row r="60" spans="2:7" ht="20.25" customHeight="1" x14ac:dyDescent="0.3">
      <c r="B60" s="80"/>
      <c r="C60" s="111"/>
      <c r="D60" s="111"/>
      <c r="E60" s="44" t="s">
        <v>111</v>
      </c>
      <c r="F60" s="44" t="s">
        <v>72</v>
      </c>
      <c r="G60" s="33" t="s">
        <v>73</v>
      </c>
    </row>
    <row r="61" spans="2:7" ht="20.25" customHeight="1" x14ac:dyDescent="0.3">
      <c r="B61" s="20" t="s">
        <v>30</v>
      </c>
      <c r="C61" s="82" t="s">
        <v>31</v>
      </c>
      <c r="D61" s="82"/>
      <c r="E61" s="29">
        <f>E34</f>
        <v>290.43</v>
      </c>
      <c r="F61" s="29">
        <f>F34</f>
        <v>290.43</v>
      </c>
      <c r="G61" s="29">
        <f>G34</f>
        <v>354.17999999999995</v>
      </c>
    </row>
    <row r="62" spans="2:7" ht="20.25" customHeight="1" x14ac:dyDescent="0.3">
      <c r="B62" s="20" t="s">
        <v>33</v>
      </c>
      <c r="C62" s="82" t="s">
        <v>37</v>
      </c>
      <c r="D62" s="82">
        <v>1.4999999999999999E-2</v>
      </c>
      <c r="E62" s="29">
        <f>E46</f>
        <v>603</v>
      </c>
      <c r="F62" s="29">
        <f>F46</f>
        <v>603</v>
      </c>
      <c r="G62" s="29">
        <f>G46</f>
        <v>735.38999999999987</v>
      </c>
    </row>
    <row r="63" spans="2:7" ht="20.25" customHeight="1" x14ac:dyDescent="0.3">
      <c r="B63" s="20" t="s">
        <v>34</v>
      </c>
      <c r="C63" s="82" t="s">
        <v>38</v>
      </c>
      <c r="D63" s="82">
        <v>0.01</v>
      </c>
      <c r="E63" s="29">
        <f>E56</f>
        <v>788.49</v>
      </c>
      <c r="F63" s="29">
        <f t="shared" ref="F63:G63" si="5">F56</f>
        <v>598.42999999999995</v>
      </c>
      <c r="G63" s="29">
        <f t="shared" si="5"/>
        <v>598.42999999999995</v>
      </c>
    </row>
    <row r="64" spans="2:7" ht="18.75" customHeight="1" x14ac:dyDescent="0.3">
      <c r="B64" s="80" t="s">
        <v>0</v>
      </c>
      <c r="C64" s="80"/>
      <c r="D64" s="80"/>
      <c r="E64" s="13">
        <f>SUM(E61:E63)</f>
        <v>1681.92</v>
      </c>
      <c r="F64" s="13">
        <f t="shared" ref="F64:G64" si="6">SUM(F61:F63)</f>
        <v>1491.8600000000001</v>
      </c>
      <c r="G64" s="13">
        <f t="shared" si="6"/>
        <v>1687.9999999999995</v>
      </c>
    </row>
    <row r="65" spans="2:10" ht="30" customHeight="1" thickBot="1" x14ac:dyDescent="0.35">
      <c r="B65" s="32"/>
      <c r="C65" s="32"/>
      <c r="D65" s="32"/>
      <c r="E65" s="42"/>
      <c r="F65" s="42"/>
      <c r="G65" s="42"/>
    </row>
    <row r="66" spans="2:10" ht="18.75" customHeight="1" thickBot="1" x14ac:dyDescent="0.35">
      <c r="B66" s="83" t="s">
        <v>39</v>
      </c>
      <c r="C66" s="84"/>
      <c r="D66" s="84"/>
      <c r="E66" s="84"/>
      <c r="F66" s="84"/>
      <c r="G66" s="85"/>
    </row>
    <row r="67" spans="2:10" ht="30" customHeight="1" x14ac:dyDescent="0.3">
      <c r="B67" s="107">
        <v>3</v>
      </c>
      <c r="C67" s="107" t="s">
        <v>14</v>
      </c>
      <c r="D67" s="107" t="s">
        <v>9</v>
      </c>
      <c r="E67" s="68" t="s">
        <v>109</v>
      </c>
      <c r="F67" s="97" t="s">
        <v>112</v>
      </c>
      <c r="G67" s="97"/>
    </row>
    <row r="68" spans="2:10" ht="19.5" customHeight="1" x14ac:dyDescent="0.3">
      <c r="B68" s="80"/>
      <c r="C68" s="80"/>
      <c r="D68" s="80"/>
      <c r="E68" s="44" t="s">
        <v>111</v>
      </c>
      <c r="F68" s="44" t="s">
        <v>72</v>
      </c>
      <c r="G68" s="33" t="s">
        <v>73</v>
      </c>
    </row>
    <row r="69" spans="2:10" ht="47.25" customHeight="1" x14ac:dyDescent="0.3">
      <c r="B69" s="20" t="s">
        <v>2</v>
      </c>
      <c r="C69" s="5" t="s">
        <v>100</v>
      </c>
      <c r="D69" s="1">
        <f>1/12*5%</f>
        <v>4.1666666666666666E-3</v>
      </c>
      <c r="E69" s="29">
        <f>ROUND($D$69*(E27),2)</f>
        <v>6.22</v>
      </c>
      <c r="F69" s="29">
        <f>ROUND($D$69*(F27),2)</f>
        <v>6.22</v>
      </c>
      <c r="G69" s="29">
        <f>ROUND($D$69*(G27),2)</f>
        <v>7.59</v>
      </c>
      <c r="I69" s="6"/>
    </row>
    <row r="70" spans="2:10" ht="57" customHeight="1" x14ac:dyDescent="0.3">
      <c r="B70" s="20" t="s">
        <v>3</v>
      </c>
      <c r="C70" s="5" t="s">
        <v>85</v>
      </c>
      <c r="D70" s="10">
        <f>D69*D45</f>
        <v>3.3333333333333332E-4</v>
      </c>
      <c r="E70" s="29">
        <f>ROUND($D$70*(E27),2)</f>
        <v>0.5</v>
      </c>
      <c r="F70" s="29">
        <f>ROUND($D$70*(F27),2)</f>
        <v>0.5</v>
      </c>
      <c r="G70" s="29">
        <f>ROUND($D$70*(G27),2)</f>
        <v>0.61</v>
      </c>
    </row>
    <row r="71" spans="2:10" ht="98" x14ac:dyDescent="0.3">
      <c r="B71" s="20" t="s">
        <v>4</v>
      </c>
      <c r="C71" s="5" t="s">
        <v>86</v>
      </c>
      <c r="D71" s="10">
        <f>(1+2/12+(1/3*1/12))*0.08*0.4*0.9</f>
        <v>3.4400000000000007E-2</v>
      </c>
      <c r="E71" s="29">
        <f>ROUND($D$71*(E27),2)</f>
        <v>51.38</v>
      </c>
      <c r="F71" s="29">
        <f>ROUND($D$71*(F27),2)</f>
        <v>51.38</v>
      </c>
      <c r="G71" s="29">
        <f>ROUND($D$71*(G27),2)</f>
        <v>62.66</v>
      </c>
    </row>
    <row r="72" spans="2:10" ht="56" x14ac:dyDescent="0.3">
      <c r="B72" s="20" t="s">
        <v>5</v>
      </c>
      <c r="C72" s="5" t="s">
        <v>101</v>
      </c>
      <c r="D72" s="11">
        <f>(7/30)/12</f>
        <v>1.9444444444444445E-2</v>
      </c>
      <c r="E72" s="29">
        <f>ROUND($D$72*(E27),2)</f>
        <v>29.04</v>
      </c>
      <c r="F72" s="29">
        <f>ROUND($D$72*(F27),2)</f>
        <v>29.04</v>
      </c>
      <c r="G72" s="29">
        <f>ROUND($D$72*(G27),2)</f>
        <v>35.42</v>
      </c>
    </row>
    <row r="73" spans="2:10" ht="42" x14ac:dyDescent="0.3">
      <c r="B73" s="20" t="s">
        <v>6</v>
      </c>
      <c r="C73" s="5" t="s">
        <v>74</v>
      </c>
      <c r="D73" s="19">
        <f>D72*D46</f>
        <v>6.5722222222222224E-3</v>
      </c>
      <c r="E73" s="29">
        <f>ROUND($D$73*(E27),2)</f>
        <v>9.82</v>
      </c>
      <c r="F73" s="29">
        <f>ROUND($D$73*(F27),2)</f>
        <v>9.82</v>
      </c>
      <c r="G73" s="29">
        <f>ROUND($D$73*(G27),2)</f>
        <v>11.97</v>
      </c>
    </row>
    <row r="74" spans="2:10" ht="70" x14ac:dyDescent="0.3">
      <c r="B74" s="20" t="s">
        <v>7</v>
      </c>
      <c r="C74" s="5" t="s">
        <v>75</v>
      </c>
      <c r="D74" s="11">
        <f>D72*8%*40%*100%</f>
        <v>6.2222222222222236E-4</v>
      </c>
      <c r="E74" s="29">
        <f>ROUND($D$74*(E27),2)</f>
        <v>0.93</v>
      </c>
      <c r="F74" s="29">
        <f>ROUND($D$74*(F27),2)</f>
        <v>0.93</v>
      </c>
      <c r="G74" s="29">
        <f>ROUND($D$74*(G27),2)</f>
        <v>1.1299999999999999</v>
      </c>
    </row>
    <row r="75" spans="2:10" ht="18.75" customHeight="1" x14ac:dyDescent="0.3">
      <c r="B75" s="80" t="s">
        <v>0</v>
      </c>
      <c r="C75" s="80"/>
      <c r="D75" s="80"/>
      <c r="E75" s="13">
        <f>SUM(E69:E74)</f>
        <v>97.890000000000015</v>
      </c>
      <c r="F75" s="13">
        <f t="shared" ref="F75:G75" si="7">SUM(F69:F74)</f>
        <v>97.890000000000015</v>
      </c>
      <c r="G75" s="13">
        <f t="shared" si="7"/>
        <v>119.38</v>
      </c>
    </row>
    <row r="76" spans="2:10" ht="33.75" customHeight="1" thickBot="1" x14ac:dyDescent="0.35">
      <c r="B76" s="32"/>
      <c r="C76" s="32"/>
      <c r="D76" s="32"/>
      <c r="E76" s="42"/>
    </row>
    <row r="77" spans="2:10" ht="18.75" customHeight="1" thickBot="1" x14ac:dyDescent="0.35">
      <c r="B77" s="88" t="s">
        <v>40</v>
      </c>
      <c r="C77" s="89"/>
      <c r="D77" s="89"/>
      <c r="E77" s="89"/>
      <c r="F77" s="89"/>
      <c r="G77" s="90"/>
    </row>
    <row r="78" spans="2:10" ht="30" customHeight="1" x14ac:dyDescent="0.3">
      <c r="B78" s="107" t="s">
        <v>12</v>
      </c>
      <c r="C78" s="107" t="s">
        <v>76</v>
      </c>
      <c r="D78" s="107" t="s">
        <v>9</v>
      </c>
      <c r="E78" s="68" t="s">
        <v>109</v>
      </c>
      <c r="F78" s="97" t="s">
        <v>112</v>
      </c>
      <c r="G78" s="97"/>
    </row>
    <row r="79" spans="2:10" ht="19.5" customHeight="1" x14ac:dyDescent="0.3">
      <c r="B79" s="80"/>
      <c r="C79" s="80"/>
      <c r="D79" s="80"/>
      <c r="E79" s="44" t="s">
        <v>111</v>
      </c>
      <c r="F79" s="44" t="s">
        <v>72</v>
      </c>
      <c r="G79" s="33" t="s">
        <v>73</v>
      </c>
    </row>
    <row r="80" spans="2:10" ht="28" x14ac:dyDescent="0.3">
      <c r="B80" s="20" t="s">
        <v>2</v>
      </c>
      <c r="C80" s="5" t="s">
        <v>77</v>
      </c>
      <c r="D80" s="1">
        <v>0</v>
      </c>
      <c r="E80" s="29">
        <f>ROUND($D$80*(E27+E75+E64),2)</f>
        <v>0</v>
      </c>
      <c r="F80" s="29">
        <f>ROUND($D$80*(F27+F75+F64),2)</f>
        <v>0</v>
      </c>
      <c r="G80" s="29">
        <f>ROUND($D$80*(G27+G75+G64),2)</f>
        <v>0</v>
      </c>
      <c r="J80" s="6"/>
    </row>
    <row r="81" spans="2:7" ht="56" x14ac:dyDescent="0.3">
      <c r="B81" s="20" t="s">
        <v>3</v>
      </c>
      <c r="C81" s="5" t="s">
        <v>103</v>
      </c>
      <c r="D81" s="1">
        <f>1/30/12</f>
        <v>2.7777777777777779E-3</v>
      </c>
      <c r="E81" s="29">
        <f>ROUND($D$81*(E27+E75+E64),2)</f>
        <v>9.09</v>
      </c>
      <c r="F81" s="29">
        <f>ROUND($D$81*(F27+F75+F64),2)</f>
        <v>8.56</v>
      </c>
      <c r="G81" s="29">
        <f>ROUND($D$81*(G27+G75+G64),2)</f>
        <v>10.08</v>
      </c>
    </row>
    <row r="82" spans="2:7" ht="70" x14ac:dyDescent="0.3">
      <c r="B82" s="20" t="s">
        <v>4</v>
      </c>
      <c r="C82" s="5" t="s">
        <v>102</v>
      </c>
      <c r="D82" s="1">
        <f>((5/30)/12)*0.015</f>
        <v>2.0833333333333332E-4</v>
      </c>
      <c r="E82" s="29">
        <f>ROUND($D$82*(E27+E75+E64),2)</f>
        <v>0.68</v>
      </c>
      <c r="F82" s="29">
        <f>ROUND($D$82*(F27+F75+F64),2)</f>
        <v>0.64</v>
      </c>
      <c r="G82" s="29">
        <f>ROUND($D$82*(G27+G75+G64),2)</f>
        <v>0.76</v>
      </c>
    </row>
    <row r="83" spans="2:7" ht="70" x14ac:dyDescent="0.3">
      <c r="B83" s="20" t="s">
        <v>5</v>
      </c>
      <c r="C83" s="5" t="s">
        <v>104</v>
      </c>
      <c r="D83" s="1">
        <f>(1/12)*0.0178</f>
        <v>1.4833333333333332E-3</v>
      </c>
      <c r="E83" s="29">
        <f>ROUND($D$83*(E27+E75+E64),2)</f>
        <v>4.8600000000000003</v>
      </c>
      <c r="F83" s="29">
        <f>ROUND($D$83*(F27+F75+F64),2)</f>
        <v>4.57</v>
      </c>
      <c r="G83" s="29">
        <f>ROUND($D$83*(G27+G75+G64),2)</f>
        <v>5.38</v>
      </c>
    </row>
    <row r="84" spans="2:7" ht="112" x14ac:dyDescent="0.3">
      <c r="B84" s="20" t="s">
        <v>6</v>
      </c>
      <c r="C84" s="5" t="s">
        <v>89</v>
      </c>
      <c r="D84" s="1">
        <f>(1/12+((1/3)*(1/12)))*0.44*0.2*(4/12)</f>
        <v>3.2592592592592591E-3</v>
      </c>
      <c r="E84" s="29">
        <f>ROUND($D$84*(E27+E75+E64),2)</f>
        <v>10.67</v>
      </c>
      <c r="F84" s="29">
        <f>ROUND($D$84*(F27+F75+F64),2)</f>
        <v>10.050000000000001</v>
      </c>
      <c r="G84" s="29">
        <f>ROUND($D$84*(G27+G75+G64),2)</f>
        <v>11.83</v>
      </c>
    </row>
    <row r="85" spans="2:7" ht="42" x14ac:dyDescent="0.3">
      <c r="B85" s="20" t="s">
        <v>7</v>
      </c>
      <c r="C85" s="5" t="s">
        <v>87</v>
      </c>
      <c r="D85" s="1">
        <f>5/30/12*100%</f>
        <v>1.3888888888888888E-2</v>
      </c>
      <c r="E85" s="29">
        <f>ROUND($D$85*(E27+E75+E64),2)</f>
        <v>45.46</v>
      </c>
      <c r="F85" s="29">
        <f>ROUND($D$85*(F27+F75+F64),2)</f>
        <v>42.82</v>
      </c>
      <c r="G85" s="29">
        <f>ROUND($D$85*(G27+G75+G64),2)</f>
        <v>50.4</v>
      </c>
    </row>
    <row r="86" spans="2:7" ht="24.75" customHeight="1" x14ac:dyDescent="0.3">
      <c r="B86" s="80" t="s">
        <v>0</v>
      </c>
      <c r="C86" s="80"/>
      <c r="D86" s="12">
        <f>SUM(D80:D85)</f>
        <v>2.1617592592592591E-2</v>
      </c>
      <c r="E86" s="13">
        <f>SUM(E80:E85)</f>
        <v>70.759999999999991</v>
      </c>
      <c r="F86" s="13">
        <f t="shared" ref="F86:G86" si="8">SUM(F80:F85)</f>
        <v>66.64</v>
      </c>
      <c r="G86" s="13">
        <f t="shared" si="8"/>
        <v>78.449999999999989</v>
      </c>
    </row>
    <row r="87" spans="2:7" ht="24.75" customHeight="1" x14ac:dyDescent="0.3">
      <c r="B87" s="32"/>
      <c r="C87" s="32"/>
      <c r="D87" s="48"/>
      <c r="E87" s="42"/>
      <c r="F87" s="42"/>
      <c r="G87" s="42"/>
    </row>
    <row r="88" spans="2:7" ht="30.75" customHeight="1" x14ac:dyDescent="0.3">
      <c r="B88" s="80" t="s">
        <v>13</v>
      </c>
      <c r="C88" s="111" t="s">
        <v>78</v>
      </c>
      <c r="D88" s="111"/>
      <c r="E88" s="67" t="s">
        <v>109</v>
      </c>
      <c r="F88" s="94" t="s">
        <v>112</v>
      </c>
      <c r="G88" s="94"/>
    </row>
    <row r="89" spans="2:7" ht="16.5" customHeight="1" x14ac:dyDescent="0.3">
      <c r="B89" s="80"/>
      <c r="C89" s="111"/>
      <c r="D89" s="111"/>
      <c r="E89" s="44" t="s">
        <v>111</v>
      </c>
      <c r="F89" s="44" t="s">
        <v>72</v>
      </c>
      <c r="G89" s="33" t="s">
        <v>73</v>
      </c>
    </row>
    <row r="90" spans="2:7" ht="51" customHeight="1" x14ac:dyDescent="0.3">
      <c r="B90" s="20" t="s">
        <v>2</v>
      </c>
      <c r="C90" s="81" t="s">
        <v>122</v>
      </c>
      <c r="D90" s="81"/>
      <c r="E90" s="49"/>
      <c r="F90" s="49">
        <f>(F23/220)*175%*15</f>
        <v>178.21363636363637</v>
      </c>
      <c r="G90" s="49">
        <f>(G23/220)*175%*15</f>
        <v>178.21363636363637</v>
      </c>
    </row>
    <row r="91" spans="2:7" ht="24.75" customHeight="1" x14ac:dyDescent="0.3">
      <c r="B91" s="80" t="s">
        <v>0</v>
      </c>
      <c r="C91" s="80"/>
      <c r="D91" s="80"/>
      <c r="E91" s="13">
        <f>E90</f>
        <v>0</v>
      </c>
      <c r="F91" s="13">
        <f t="shared" ref="F91:G91" si="9">F90</f>
        <v>178.21363636363637</v>
      </c>
      <c r="G91" s="13">
        <f t="shared" si="9"/>
        <v>178.21363636363637</v>
      </c>
    </row>
    <row r="92" spans="2:7" ht="24.75" customHeight="1" thickBot="1" x14ac:dyDescent="0.35">
      <c r="B92" s="32"/>
      <c r="C92" s="32"/>
      <c r="D92" s="32"/>
      <c r="E92" s="42"/>
    </row>
    <row r="93" spans="2:7" ht="24.75" customHeight="1" thickBot="1" x14ac:dyDescent="0.35">
      <c r="B93" s="83" t="s">
        <v>43</v>
      </c>
      <c r="C93" s="84"/>
      <c r="D93" s="84"/>
      <c r="E93" s="84"/>
      <c r="F93" s="84"/>
      <c r="G93" s="85"/>
    </row>
    <row r="94" spans="2:7" ht="35.25" customHeight="1" x14ac:dyDescent="0.3">
      <c r="B94" s="107">
        <v>4</v>
      </c>
      <c r="C94" s="107" t="s">
        <v>44</v>
      </c>
      <c r="D94" s="107"/>
      <c r="E94" s="68" t="s">
        <v>109</v>
      </c>
      <c r="F94" s="97" t="s">
        <v>112</v>
      </c>
      <c r="G94" s="97"/>
    </row>
    <row r="95" spans="2:7" ht="16.5" customHeight="1" x14ac:dyDescent="0.3">
      <c r="B95" s="80"/>
      <c r="C95" s="80"/>
      <c r="D95" s="80"/>
      <c r="E95" s="44" t="s">
        <v>111</v>
      </c>
      <c r="F95" s="44" t="s">
        <v>72</v>
      </c>
      <c r="G95" s="33" t="s">
        <v>73</v>
      </c>
    </row>
    <row r="96" spans="2:7" ht="23.25" customHeight="1" x14ac:dyDescent="0.3">
      <c r="B96" s="20" t="s">
        <v>12</v>
      </c>
      <c r="C96" s="82" t="s">
        <v>41</v>
      </c>
      <c r="D96" s="82"/>
      <c r="E96" s="29">
        <f>E86</f>
        <v>70.759999999999991</v>
      </c>
      <c r="F96" s="29">
        <f t="shared" ref="F96:G96" si="10">F86</f>
        <v>66.64</v>
      </c>
      <c r="G96" s="29">
        <f t="shared" si="10"/>
        <v>78.449999999999989</v>
      </c>
    </row>
    <row r="97" spans="2:7" ht="23.25" customHeight="1" x14ac:dyDescent="0.3">
      <c r="B97" s="20" t="s">
        <v>13</v>
      </c>
      <c r="C97" s="82" t="s">
        <v>42</v>
      </c>
      <c r="D97" s="82">
        <v>1.4999999999999999E-2</v>
      </c>
      <c r="E97" s="29">
        <f>E91</f>
        <v>0</v>
      </c>
      <c r="F97" s="29">
        <f t="shared" ref="F97:G97" si="11">F91</f>
        <v>178.21363636363637</v>
      </c>
      <c r="G97" s="29">
        <f t="shared" si="11"/>
        <v>178.21363636363637</v>
      </c>
    </row>
    <row r="98" spans="2:7" ht="23.25" customHeight="1" x14ac:dyDescent="0.3">
      <c r="B98" s="80" t="s">
        <v>0</v>
      </c>
      <c r="C98" s="80"/>
      <c r="D98" s="80"/>
      <c r="E98" s="13">
        <f>SUM(E96:E97)</f>
        <v>70.759999999999991</v>
      </c>
      <c r="F98" s="13">
        <f t="shared" ref="F98:G98" si="12">SUM(F96:F97)</f>
        <v>244.85363636363638</v>
      </c>
      <c r="G98" s="13">
        <f t="shared" si="12"/>
        <v>256.66363636363633</v>
      </c>
    </row>
    <row r="99" spans="2:7" ht="23.25" customHeight="1" thickBot="1" x14ac:dyDescent="0.35">
      <c r="B99" s="32"/>
      <c r="C99" s="32"/>
      <c r="D99" s="32"/>
      <c r="E99" s="42"/>
    </row>
    <row r="100" spans="2:7" ht="21" customHeight="1" thickBot="1" x14ac:dyDescent="0.35">
      <c r="B100" s="88" t="s">
        <v>45</v>
      </c>
      <c r="C100" s="89"/>
      <c r="D100" s="89"/>
      <c r="E100" s="89"/>
      <c r="F100" s="89"/>
      <c r="G100" s="90"/>
    </row>
    <row r="101" spans="2:7" ht="39.75" customHeight="1" x14ac:dyDescent="0.3">
      <c r="B101" s="107">
        <v>5</v>
      </c>
      <c r="C101" s="110" t="s">
        <v>28</v>
      </c>
      <c r="D101" s="110"/>
      <c r="E101" s="68" t="s">
        <v>109</v>
      </c>
      <c r="F101" s="97" t="s">
        <v>112</v>
      </c>
      <c r="G101" s="97"/>
    </row>
    <row r="102" spans="2:7" ht="21" customHeight="1" x14ac:dyDescent="0.3">
      <c r="B102" s="80"/>
      <c r="C102" s="111"/>
      <c r="D102" s="111"/>
      <c r="E102" s="44" t="s">
        <v>111</v>
      </c>
      <c r="F102" s="44" t="s">
        <v>72</v>
      </c>
      <c r="G102" s="33" t="s">
        <v>73</v>
      </c>
    </row>
    <row r="103" spans="2:7" ht="23.25" customHeight="1" x14ac:dyDescent="0.3">
      <c r="B103" s="20" t="s">
        <v>2</v>
      </c>
      <c r="C103" s="82" t="s">
        <v>59</v>
      </c>
      <c r="D103" s="82"/>
      <c r="E103" s="29">
        <f>UNIFORMES!F10</f>
        <v>0</v>
      </c>
      <c r="F103" s="29">
        <f>UNIFORMES!F10</f>
        <v>0</v>
      </c>
      <c r="G103" s="29">
        <f>UNIFORMES!F10</f>
        <v>0</v>
      </c>
    </row>
    <row r="104" spans="2:7" ht="21" customHeight="1" x14ac:dyDescent="0.3">
      <c r="B104" s="80" t="s">
        <v>0</v>
      </c>
      <c r="C104" s="80"/>
      <c r="D104" s="80"/>
      <c r="E104" s="13">
        <f>ROUND(SUM(E103:E103),2)</f>
        <v>0</v>
      </c>
      <c r="F104" s="13">
        <f>ROUND(SUM(F103:F103),2)</f>
        <v>0</v>
      </c>
      <c r="G104" s="13">
        <f>ROUND(SUM(G103:G103),2)</f>
        <v>0</v>
      </c>
    </row>
    <row r="105" spans="2:7" ht="21" customHeight="1" thickBot="1" x14ac:dyDescent="0.35">
      <c r="B105" s="32"/>
      <c r="C105" s="32"/>
      <c r="D105" s="32"/>
      <c r="E105" s="42"/>
    </row>
    <row r="106" spans="2:7" ht="21" customHeight="1" thickBot="1" x14ac:dyDescent="0.35">
      <c r="B106" s="83" t="s">
        <v>46</v>
      </c>
      <c r="C106" s="84"/>
      <c r="D106" s="84"/>
      <c r="E106" s="84"/>
      <c r="F106" s="84"/>
      <c r="G106" s="85"/>
    </row>
    <row r="107" spans="2:7" ht="37.5" customHeight="1" x14ac:dyDescent="0.3">
      <c r="B107" s="107">
        <v>6</v>
      </c>
      <c r="C107" s="110" t="s">
        <v>15</v>
      </c>
      <c r="D107" s="107" t="s">
        <v>9</v>
      </c>
      <c r="E107" s="68" t="s">
        <v>109</v>
      </c>
      <c r="F107" s="97" t="s">
        <v>112</v>
      </c>
      <c r="G107" s="97"/>
    </row>
    <row r="108" spans="2:7" ht="23.25" customHeight="1" x14ac:dyDescent="0.3">
      <c r="B108" s="80"/>
      <c r="C108" s="111"/>
      <c r="D108" s="80"/>
      <c r="E108" s="44" t="s">
        <v>111</v>
      </c>
      <c r="F108" s="44" t="s">
        <v>72</v>
      </c>
      <c r="G108" s="33" t="s">
        <v>73</v>
      </c>
    </row>
    <row r="109" spans="2:7" ht="21" customHeight="1" x14ac:dyDescent="0.3">
      <c r="B109" s="20" t="s">
        <v>2</v>
      </c>
      <c r="C109" s="4" t="s">
        <v>19</v>
      </c>
      <c r="D109" s="18"/>
      <c r="E109" s="29">
        <f>ROUND($D$109*(E27+E64+E75+E98+E104),2)</f>
        <v>0</v>
      </c>
      <c r="F109" s="29">
        <f>ROUND($D$109*(F27+F64+F75+F98+F104),2)</f>
        <v>0</v>
      </c>
      <c r="G109" s="29">
        <f>ROUND($D$109*(G27+G64+G75+G98+G104),2)</f>
        <v>0</v>
      </c>
    </row>
    <row r="110" spans="2:7" ht="21" customHeight="1" x14ac:dyDescent="0.3">
      <c r="B110" s="20" t="s">
        <v>3</v>
      </c>
      <c r="C110" s="4" t="s">
        <v>16</v>
      </c>
      <c r="D110" s="18"/>
      <c r="E110" s="29">
        <f>ROUND($D$110*(E27+E64+E75+E98+E104+E109),2)</f>
        <v>0</v>
      </c>
      <c r="F110" s="29">
        <f>ROUND($D$110*(F27+F64+F75+F98+F104+F109),2)</f>
        <v>0</v>
      </c>
      <c r="G110" s="29">
        <f>ROUND($D$110*(G27+G64+G75+G98+G104+G109),2)</f>
        <v>0</v>
      </c>
    </row>
    <row r="111" spans="2:7" ht="29.25" customHeight="1" x14ac:dyDescent="0.3">
      <c r="B111" s="20" t="s">
        <v>4</v>
      </c>
      <c r="C111" s="45" t="s">
        <v>88</v>
      </c>
      <c r="D111" s="10">
        <f>D112+D113+D114</f>
        <v>8.6499999999999994E-2</v>
      </c>
      <c r="E111" s="29">
        <f>ROUND((E27+E64+E75+E98+E104+E109+E110)/(1-$D$111),2)</f>
        <v>3660.83</v>
      </c>
      <c r="F111" s="29">
        <f>ROUND((F27+F64+F75+F98+F104+F109+F110)/(1-$D$111),2)</f>
        <v>3643.35</v>
      </c>
      <c r="G111" s="29">
        <f>ROUND((G27+G64+G75+G98+G104+G109+G110)/(1-$D$111),2)</f>
        <v>4253.4799999999996</v>
      </c>
    </row>
    <row r="112" spans="2:7" ht="21" customHeight="1" x14ac:dyDescent="0.3">
      <c r="B112" s="87"/>
      <c r="C112" s="4" t="s">
        <v>51</v>
      </c>
      <c r="D112" s="1">
        <v>0.03</v>
      </c>
      <c r="E112" s="29">
        <f>ROUND($D$112*(E111),2)</f>
        <v>109.82</v>
      </c>
      <c r="F112" s="29">
        <f>ROUND($D$112*(F111),2)</f>
        <v>109.3</v>
      </c>
      <c r="G112" s="29">
        <f>ROUND($D$112*(G111),2)</f>
        <v>127.6</v>
      </c>
    </row>
    <row r="113" spans="2:11" ht="21" customHeight="1" x14ac:dyDescent="0.3">
      <c r="B113" s="87"/>
      <c r="C113" s="4" t="s">
        <v>52</v>
      </c>
      <c r="D113" s="1">
        <v>6.4999999999999997E-3</v>
      </c>
      <c r="E113" s="29">
        <f>ROUND($D$113*(E111),2)</f>
        <v>23.8</v>
      </c>
      <c r="F113" s="29">
        <f>ROUND($D$113*(F111),2)</f>
        <v>23.68</v>
      </c>
      <c r="G113" s="29">
        <f>ROUND($D$113*(G111),2)</f>
        <v>27.65</v>
      </c>
    </row>
    <row r="114" spans="2:11" ht="21" customHeight="1" x14ac:dyDescent="0.3">
      <c r="B114" s="87"/>
      <c r="C114" s="40" t="s">
        <v>53</v>
      </c>
      <c r="D114" s="1">
        <v>0.05</v>
      </c>
      <c r="E114" s="29">
        <f>ROUND($D$114*(E111),2)</f>
        <v>183.04</v>
      </c>
      <c r="F114" s="29">
        <f>ROUND($D$114*(F111),2)</f>
        <v>182.17</v>
      </c>
      <c r="G114" s="29">
        <f>ROUND($D$114*(G111),2)</f>
        <v>212.67</v>
      </c>
    </row>
    <row r="115" spans="2:11" ht="21" customHeight="1" x14ac:dyDescent="0.3">
      <c r="B115" s="80" t="s">
        <v>0</v>
      </c>
      <c r="C115" s="80"/>
      <c r="D115" s="7">
        <f>D109+D110+D112+D113+D114</f>
        <v>8.6499999999999994E-2</v>
      </c>
      <c r="E115" s="13">
        <f>E109+E110+E112+E113+E114</f>
        <v>316.65999999999997</v>
      </c>
      <c r="F115" s="13">
        <f t="shared" ref="F115:G115" si="13">F109+F110+F112+F113+F114</f>
        <v>315.14999999999998</v>
      </c>
      <c r="G115" s="13">
        <f t="shared" si="13"/>
        <v>367.91999999999996</v>
      </c>
    </row>
    <row r="116" spans="2:11" ht="21" customHeight="1" thickBot="1" x14ac:dyDescent="0.35">
      <c r="B116" s="32"/>
      <c r="C116" s="32"/>
      <c r="D116" s="43"/>
      <c r="E116" s="42"/>
    </row>
    <row r="117" spans="2:11" ht="21" customHeight="1" x14ac:dyDescent="0.3">
      <c r="B117" s="112" t="s">
        <v>17</v>
      </c>
      <c r="C117" s="113"/>
      <c r="D117" s="113"/>
      <c r="E117" s="113"/>
      <c r="F117" s="113"/>
      <c r="G117" s="114"/>
    </row>
    <row r="118" spans="2:11" ht="35.25" customHeight="1" x14ac:dyDescent="0.3">
      <c r="B118" s="80" t="s">
        <v>18</v>
      </c>
      <c r="C118" s="80"/>
      <c r="D118" s="80"/>
      <c r="E118" s="67" t="s">
        <v>109</v>
      </c>
      <c r="F118" s="94" t="s">
        <v>112</v>
      </c>
      <c r="G118" s="94"/>
    </row>
    <row r="119" spans="2:11" ht="24" customHeight="1" x14ac:dyDescent="0.3">
      <c r="B119" s="80"/>
      <c r="C119" s="80"/>
      <c r="D119" s="80"/>
      <c r="E119" s="44" t="s">
        <v>111</v>
      </c>
      <c r="F119" s="44" t="s">
        <v>72</v>
      </c>
      <c r="G119" s="33" t="s">
        <v>73</v>
      </c>
    </row>
    <row r="120" spans="2:11" ht="21" customHeight="1" x14ac:dyDescent="0.3">
      <c r="B120" s="20" t="s">
        <v>2</v>
      </c>
      <c r="C120" s="82" t="str">
        <f>B20</f>
        <v>MÓDULO 1 - COMPOSIÇÃO DA REMUNERAÇÃO</v>
      </c>
      <c r="D120" s="82"/>
      <c r="E120" s="29">
        <f>E27</f>
        <v>1493.6</v>
      </c>
      <c r="F120" s="29">
        <f>F27</f>
        <v>1493.6</v>
      </c>
      <c r="G120" s="29">
        <f>G27</f>
        <v>1821.5130909090908</v>
      </c>
    </row>
    <row r="121" spans="2:11" ht="21" customHeight="1" x14ac:dyDescent="0.3">
      <c r="B121" s="20" t="s">
        <v>3</v>
      </c>
      <c r="C121" s="82" t="str">
        <f>B29</f>
        <v>MÓDULO 2 - ENCARGOS E BENEFÍCIOS ANUAIS, MENSAIS E DIÁRIOS</v>
      </c>
      <c r="D121" s="82"/>
      <c r="E121" s="29">
        <f>E64</f>
        <v>1681.92</v>
      </c>
      <c r="F121" s="29">
        <f>F64</f>
        <v>1491.8600000000001</v>
      </c>
      <c r="G121" s="29">
        <f>G64</f>
        <v>1687.9999999999995</v>
      </c>
    </row>
    <row r="122" spans="2:11" ht="21" customHeight="1" x14ac:dyDescent="0.3">
      <c r="B122" s="20" t="s">
        <v>4</v>
      </c>
      <c r="C122" s="82" t="str">
        <f>B66</f>
        <v>MÓDULO 3 - PROVISÃO PARA RESCISÃO</v>
      </c>
      <c r="D122" s="82"/>
      <c r="E122" s="29">
        <f>E75</f>
        <v>97.890000000000015</v>
      </c>
      <c r="F122" s="29">
        <f>F75</f>
        <v>97.890000000000015</v>
      </c>
      <c r="G122" s="29">
        <f>G75</f>
        <v>119.38</v>
      </c>
    </row>
    <row r="123" spans="2:11" ht="21" customHeight="1" x14ac:dyDescent="0.3">
      <c r="B123" s="20" t="s">
        <v>5</v>
      </c>
      <c r="C123" s="82" t="str">
        <f>B77</f>
        <v>MÓDULO 4 - CUSTO DE REPOSIÇÃO DO PROFISSIONAL AUSENTE</v>
      </c>
      <c r="D123" s="82"/>
      <c r="E123" s="29">
        <f>E98</f>
        <v>70.759999999999991</v>
      </c>
      <c r="F123" s="29">
        <f>F98</f>
        <v>244.85363636363638</v>
      </c>
      <c r="G123" s="29">
        <f>G98</f>
        <v>256.66363636363633</v>
      </c>
    </row>
    <row r="124" spans="2:11" ht="21" customHeight="1" x14ac:dyDescent="0.3">
      <c r="B124" s="20" t="s">
        <v>6</v>
      </c>
      <c r="C124" s="82" t="str">
        <f>B100</f>
        <v>MÓDULO 5 - INSUMOS DIVERSOS</v>
      </c>
      <c r="D124" s="82"/>
      <c r="E124" s="29">
        <f>E104</f>
        <v>0</v>
      </c>
      <c r="F124" s="29">
        <f t="shared" ref="F124:G124" si="14">F104</f>
        <v>0</v>
      </c>
      <c r="G124" s="29">
        <f t="shared" si="14"/>
        <v>0</v>
      </c>
    </row>
    <row r="125" spans="2:11" ht="21" customHeight="1" x14ac:dyDescent="0.3">
      <c r="B125" s="87" t="s">
        <v>47</v>
      </c>
      <c r="C125" s="87"/>
      <c r="D125" s="87"/>
      <c r="E125" s="29">
        <f>SUM(E120:E124)</f>
        <v>3344.17</v>
      </c>
      <c r="F125" s="29">
        <f t="shared" ref="F125:G125" si="15">SUM(F120:F124)</f>
        <v>3328.2036363636362</v>
      </c>
      <c r="G125" s="29">
        <f t="shared" si="15"/>
        <v>3885.5567272727267</v>
      </c>
    </row>
    <row r="126" spans="2:11" ht="21" customHeight="1" thickBot="1" x14ac:dyDescent="0.35">
      <c r="B126" s="35" t="s">
        <v>7</v>
      </c>
      <c r="C126" s="115" t="str">
        <f>B106</f>
        <v>MÓDULO 6 - CUSTOS INDIRETOS, TRIBUTOS E LUCRO</v>
      </c>
      <c r="D126" s="115"/>
      <c r="E126" s="47">
        <f>E115</f>
        <v>316.65999999999997</v>
      </c>
      <c r="F126" s="47">
        <f t="shared" ref="F126:G126" si="16">F115</f>
        <v>315.14999999999998</v>
      </c>
      <c r="G126" s="47">
        <f t="shared" si="16"/>
        <v>367.91999999999996</v>
      </c>
    </row>
    <row r="127" spans="2:11" ht="21" customHeight="1" thickBot="1" x14ac:dyDescent="0.35">
      <c r="B127" s="83" t="s">
        <v>54</v>
      </c>
      <c r="C127" s="84"/>
      <c r="D127" s="84"/>
      <c r="E127" s="74">
        <f>SUM(E125:E126)</f>
        <v>3660.83</v>
      </c>
      <c r="F127" s="74">
        <f t="shared" ref="F127:G127" si="17">SUM(F125:F126)</f>
        <v>3643.3536363636363</v>
      </c>
      <c r="G127" s="75">
        <f t="shared" si="17"/>
        <v>4253.4767272727267</v>
      </c>
    </row>
    <row r="128" spans="2:11" ht="20.25" customHeight="1" x14ac:dyDescent="0.3">
      <c r="B128" s="3"/>
      <c r="C128" s="3"/>
      <c r="D128" s="26"/>
      <c r="E128" s="14"/>
      <c r="F128" s="3"/>
      <c r="G128" s="16"/>
      <c r="H128" s="16"/>
      <c r="I128" s="16"/>
      <c r="J128" s="16"/>
      <c r="K128" s="16"/>
    </row>
    <row r="129" spans="2:11" x14ac:dyDescent="0.3">
      <c r="B129" s="15"/>
      <c r="C129" s="15"/>
      <c r="D129" s="15"/>
      <c r="F129" s="16"/>
      <c r="G129" s="16"/>
      <c r="H129" s="16"/>
      <c r="I129" s="16"/>
      <c r="J129" s="16"/>
      <c r="K129" s="16"/>
    </row>
    <row r="130" spans="2:11" x14ac:dyDescent="0.3">
      <c r="B130" s="15"/>
      <c r="C130" s="15"/>
      <c r="D130" s="15"/>
      <c r="F130" s="16"/>
      <c r="G130" s="16"/>
      <c r="H130" s="16"/>
      <c r="I130" s="16"/>
      <c r="J130" s="16"/>
      <c r="K130" s="16"/>
    </row>
    <row r="131" spans="2:11" x14ac:dyDescent="0.3">
      <c r="B131" s="15"/>
      <c r="C131" s="15"/>
      <c r="D131" s="15"/>
      <c r="F131" s="16"/>
      <c r="G131" s="16"/>
      <c r="H131" s="16"/>
      <c r="I131" s="16"/>
      <c r="J131" s="16"/>
      <c r="K131" s="16"/>
    </row>
    <row r="133" spans="2:11" x14ac:dyDescent="0.3">
      <c r="E133" s="9"/>
    </row>
    <row r="134" spans="2:11" x14ac:dyDescent="0.3">
      <c r="E134" s="9"/>
    </row>
    <row r="136" spans="2:11" x14ac:dyDescent="0.3">
      <c r="E136" s="6"/>
    </row>
    <row r="140" spans="2:11" x14ac:dyDescent="0.3">
      <c r="D140" s="26"/>
    </row>
    <row r="141" spans="2:11" x14ac:dyDescent="0.3">
      <c r="D141" s="26"/>
    </row>
    <row r="142" spans="2:11" x14ac:dyDescent="0.3">
      <c r="D142" s="26"/>
    </row>
    <row r="143" spans="2:11" x14ac:dyDescent="0.3">
      <c r="D143" s="26"/>
    </row>
    <row r="144" spans="2:11" x14ac:dyDescent="0.3">
      <c r="D144" s="26"/>
    </row>
  </sheetData>
  <mergeCells count="103">
    <mergeCell ref="B127:D127"/>
    <mergeCell ref="C121:D121"/>
    <mergeCell ref="C122:D122"/>
    <mergeCell ref="F118:G118"/>
    <mergeCell ref="B117:G117"/>
    <mergeCell ref="B118:D119"/>
    <mergeCell ref="F101:G101"/>
    <mergeCell ref="B106:G106"/>
    <mergeCell ref="F107:G107"/>
    <mergeCell ref="D107:D108"/>
    <mergeCell ref="C107:C108"/>
    <mergeCell ref="B107:B108"/>
    <mergeCell ref="C103:D103"/>
    <mergeCell ref="B104:D104"/>
    <mergeCell ref="B112:B114"/>
    <mergeCell ref="B115:C115"/>
    <mergeCell ref="C101:D102"/>
    <mergeCell ref="B101:B102"/>
    <mergeCell ref="C123:D123"/>
    <mergeCell ref="C124:D124"/>
    <mergeCell ref="B125:D125"/>
    <mergeCell ref="C126:D126"/>
    <mergeCell ref="F94:G94"/>
    <mergeCell ref="C94:D95"/>
    <mergeCell ref="B94:B95"/>
    <mergeCell ref="B100:G100"/>
    <mergeCell ref="F88:G88"/>
    <mergeCell ref="B88:B89"/>
    <mergeCell ref="C88:D89"/>
    <mergeCell ref="B93:G93"/>
    <mergeCell ref="B98:D98"/>
    <mergeCell ref="B77:G77"/>
    <mergeCell ref="F78:G78"/>
    <mergeCell ref="D78:D79"/>
    <mergeCell ref="C78:C79"/>
    <mergeCell ref="B78:B79"/>
    <mergeCell ref="D48:D49"/>
    <mergeCell ref="C48:C49"/>
    <mergeCell ref="B48:B49"/>
    <mergeCell ref="B58:G58"/>
    <mergeCell ref="F59:G59"/>
    <mergeCell ref="B59:B60"/>
    <mergeCell ref="C59:D60"/>
    <mergeCell ref="B75:D75"/>
    <mergeCell ref="B66:G66"/>
    <mergeCell ref="F67:G67"/>
    <mergeCell ref="D67:D68"/>
    <mergeCell ref="F36:G36"/>
    <mergeCell ref="D36:D37"/>
    <mergeCell ref="C36:C37"/>
    <mergeCell ref="B36:B37"/>
    <mergeCell ref="F30:G30"/>
    <mergeCell ref="B30:B31"/>
    <mergeCell ref="C30:C31"/>
    <mergeCell ref="D30:D31"/>
    <mergeCell ref="C67:C68"/>
    <mergeCell ref="B67:B68"/>
    <mergeCell ref="C15:E15"/>
    <mergeCell ref="C16:E16"/>
    <mergeCell ref="C17:E17"/>
    <mergeCell ref="C18:E18"/>
    <mergeCell ref="F21:G21"/>
    <mergeCell ref="B6:G6"/>
    <mergeCell ref="F7:G7"/>
    <mergeCell ref="F8:G8"/>
    <mergeCell ref="F9:G9"/>
    <mergeCell ref="F10:G10"/>
    <mergeCell ref="C7:E7"/>
    <mergeCell ref="C8:E8"/>
    <mergeCell ref="C9:E9"/>
    <mergeCell ref="C10:E10"/>
    <mergeCell ref="F14:G14"/>
    <mergeCell ref="F15:G15"/>
    <mergeCell ref="F16:G16"/>
    <mergeCell ref="F17:G17"/>
    <mergeCell ref="B20:G20"/>
    <mergeCell ref="B21:B22"/>
    <mergeCell ref="D21:D22"/>
    <mergeCell ref="C21:C22"/>
    <mergeCell ref="B86:C86"/>
    <mergeCell ref="C90:D90"/>
    <mergeCell ref="B91:D91"/>
    <mergeCell ref="C96:D96"/>
    <mergeCell ref="C97:D97"/>
    <mergeCell ref="C120:D120"/>
    <mergeCell ref="B2:G2"/>
    <mergeCell ref="B3:G3"/>
    <mergeCell ref="B4:G4"/>
    <mergeCell ref="C23:D23"/>
    <mergeCell ref="B12:G12"/>
    <mergeCell ref="B13:G13"/>
    <mergeCell ref="B64:D64"/>
    <mergeCell ref="B27:D27"/>
    <mergeCell ref="B34:C34"/>
    <mergeCell ref="B46:C46"/>
    <mergeCell ref="B56:D56"/>
    <mergeCell ref="C61:D61"/>
    <mergeCell ref="C62:D62"/>
    <mergeCell ref="C63:D63"/>
    <mergeCell ref="B29:G29"/>
    <mergeCell ref="F48:G48"/>
    <mergeCell ref="F18:G18"/>
    <mergeCell ref="C14:E14"/>
  </mergeCells>
  <pageMargins left="0.511811024" right="0.511811024" top="0.78740157499999996" bottom="0.78740157499999996" header="0.31496062000000002" footer="0.31496062000000002"/>
  <pageSetup paperSize="9" scale="45" orientation="portrait" r:id="rId1"/>
  <rowBreaks count="2" manualBreakCount="2">
    <brk id="56" min="1" max="6" man="1"/>
    <brk id="91" min="1" max="6" man="1"/>
  </rowBreaks>
  <ignoredErrors>
    <ignoredError sqref="E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98A1-43F5-449B-B5D1-4271ED033C95}">
  <dimension ref="B1:F12"/>
  <sheetViews>
    <sheetView view="pageBreakPreview" zoomScaleNormal="100" zoomScaleSheetLayoutView="100" workbookViewId="0">
      <selection activeCell="F7" sqref="F7"/>
    </sheetView>
  </sheetViews>
  <sheetFormatPr defaultColWidth="9.1796875" defaultRowHeight="15.5" x14ac:dyDescent="0.35"/>
  <cols>
    <col min="1" max="1" width="2.81640625" style="53" customWidth="1"/>
    <col min="2" max="2" width="49.54296875" style="53" customWidth="1"/>
    <col min="3" max="3" width="11.26953125" style="53" customWidth="1"/>
    <col min="4" max="4" width="9.26953125" style="53" bestFit="1" customWidth="1"/>
    <col min="5" max="5" width="13" style="53" customWidth="1"/>
    <col min="6" max="6" width="11.7265625" style="53" bestFit="1" customWidth="1"/>
    <col min="7" max="16384" width="9.1796875" style="53"/>
  </cols>
  <sheetData>
    <row r="1" spans="2:6" ht="16" thickBot="1" x14ac:dyDescent="0.4">
      <c r="B1" s="52"/>
      <c r="E1" s="54"/>
    </row>
    <row r="2" spans="2:6" ht="16" thickBot="1" x14ac:dyDescent="0.4">
      <c r="B2" s="116" t="s">
        <v>79</v>
      </c>
      <c r="C2" s="117"/>
      <c r="D2" s="117"/>
      <c r="E2" s="117"/>
      <c r="F2" s="118"/>
    </row>
    <row r="3" spans="2:6" ht="31" x14ac:dyDescent="0.35">
      <c r="B3" s="50" t="s">
        <v>63</v>
      </c>
      <c r="C3" s="51" t="s">
        <v>84</v>
      </c>
      <c r="D3" s="51" t="s">
        <v>80</v>
      </c>
      <c r="E3" s="51" t="s">
        <v>81</v>
      </c>
      <c r="F3" s="51" t="s">
        <v>82</v>
      </c>
    </row>
    <row r="4" spans="2:6" ht="31" x14ac:dyDescent="0.35">
      <c r="B4" s="55" t="s">
        <v>123</v>
      </c>
      <c r="C4" s="65"/>
      <c r="D4" s="57">
        <v>12</v>
      </c>
      <c r="E4" s="58">
        <v>2</v>
      </c>
      <c r="F4" s="56">
        <f>(C4/D4)*E4</f>
        <v>0</v>
      </c>
    </row>
    <row r="5" spans="2:6" ht="29" x14ac:dyDescent="0.35">
      <c r="B5" s="121" t="s">
        <v>124</v>
      </c>
      <c r="C5" s="65"/>
      <c r="D5" s="57">
        <v>12</v>
      </c>
      <c r="E5" s="58">
        <v>2</v>
      </c>
      <c r="F5" s="56">
        <f t="shared" ref="F5:F9" si="0">(C5/D5)*E5</f>
        <v>0</v>
      </c>
    </row>
    <row r="6" spans="2:6" ht="31" x14ac:dyDescent="0.35">
      <c r="B6" s="55" t="s">
        <v>125</v>
      </c>
      <c r="C6" s="65"/>
      <c r="D6" s="57">
        <v>12</v>
      </c>
      <c r="E6" s="58">
        <v>1</v>
      </c>
      <c r="F6" s="56">
        <f t="shared" si="0"/>
        <v>0</v>
      </c>
    </row>
    <row r="7" spans="2:6" ht="31" x14ac:dyDescent="0.35">
      <c r="B7" s="55" t="s">
        <v>126</v>
      </c>
      <c r="C7" s="65"/>
      <c r="D7" s="57">
        <v>12</v>
      </c>
      <c r="E7" s="58">
        <v>3</v>
      </c>
      <c r="F7" s="56">
        <f t="shared" si="0"/>
        <v>0</v>
      </c>
    </row>
    <row r="8" spans="2:6" x14ac:dyDescent="0.35">
      <c r="B8" s="55" t="s">
        <v>83</v>
      </c>
      <c r="C8" s="65"/>
      <c r="D8" s="57">
        <v>12</v>
      </c>
      <c r="E8" s="58">
        <v>1</v>
      </c>
      <c r="F8" s="56">
        <f t="shared" si="0"/>
        <v>0</v>
      </c>
    </row>
    <row r="9" spans="2:6" ht="16" thickBot="1" x14ac:dyDescent="0.4">
      <c r="B9" s="60" t="s">
        <v>127</v>
      </c>
      <c r="C9" s="66"/>
      <c r="D9" s="62">
        <v>12</v>
      </c>
      <c r="E9" s="63">
        <v>1</v>
      </c>
      <c r="F9" s="61">
        <f t="shared" si="0"/>
        <v>0</v>
      </c>
    </row>
    <row r="10" spans="2:6" ht="16" thickBot="1" x14ac:dyDescent="0.4">
      <c r="B10" s="119" t="s">
        <v>0</v>
      </c>
      <c r="C10" s="120"/>
      <c r="D10" s="120"/>
      <c r="E10" s="120"/>
      <c r="F10" s="64">
        <f>SUM(F4:F9)</f>
        <v>0</v>
      </c>
    </row>
    <row r="11" spans="2:6" x14ac:dyDescent="0.35">
      <c r="E11" s="54"/>
    </row>
    <row r="12" spans="2:6" x14ac:dyDescent="0.35">
      <c r="B12" s="52"/>
      <c r="E12" s="54"/>
    </row>
  </sheetData>
  <mergeCells count="2">
    <mergeCell ref="B2:F2"/>
    <mergeCell ref="B10:E10"/>
  </mergeCells>
  <pageMargins left="0.511811024" right="0.511811024" top="0.78740157499999996" bottom="0.78740157499999996" header="0.31496062000000002" footer="0.31496062000000002"/>
  <pageSetup paperSize="9" scale="92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PROPOSTA</vt:lpstr>
      <vt:lpstr>RECEPCIONISTAS E ASSIST. ADMIN.</vt:lpstr>
      <vt:lpstr>UNIFORMES</vt:lpstr>
      <vt:lpstr>'RECEPCIONISTAS E ASSIST. ADMIN.'!Area_de_impressao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2023-11-20T19:15:35Z</cp:lastPrinted>
  <dcterms:created xsi:type="dcterms:W3CDTF">2016-12-15T21:33:06Z</dcterms:created>
  <dcterms:modified xsi:type="dcterms:W3CDTF">2024-01-15T12:05:12Z</dcterms:modified>
</cp:coreProperties>
</file>